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NPLSC Estimates" sheetId="9" r:id="rId1"/>
  </sheets>
  <definedNames>
    <definedName name="_xlnm.Print_Area" localSheetId="0">'NPLSC Estimates'!$N$3:$Y$86</definedName>
  </definedNames>
  <calcPr calcId="145621"/>
</workbook>
</file>

<file path=xl/calcChain.xml><?xml version="1.0" encoding="utf-8"?>
<calcChain xmlns="http://schemas.openxmlformats.org/spreadsheetml/2006/main">
  <c r="X22" i="9" l="1"/>
  <c r="Y105" i="9"/>
  <c r="Y101" i="9"/>
  <c r="Y102" i="9"/>
  <c r="Y31" i="9"/>
  <c r="X79" i="9" l="1"/>
  <c r="F114" i="9"/>
  <c r="E114" i="9"/>
  <c r="E113" i="9"/>
  <c r="D114" i="9"/>
  <c r="C114" i="9"/>
  <c r="C113" i="9"/>
  <c r="K120" i="9"/>
  <c r="J11" i="9"/>
  <c r="J8" i="9"/>
  <c r="J7" i="9"/>
  <c r="J6" i="9"/>
  <c r="S5" i="9"/>
  <c r="S9" i="9"/>
  <c r="J45" i="9" l="1"/>
  <c r="I18" i="9"/>
  <c r="P54" i="9" l="1"/>
  <c r="R54" i="9"/>
  <c r="X54" i="9"/>
  <c r="P55" i="9"/>
  <c r="R55" i="9"/>
  <c r="X55" i="9"/>
  <c r="P56" i="9"/>
  <c r="R56" i="9"/>
  <c r="X56" i="9"/>
  <c r="P57" i="9"/>
  <c r="R57" i="9"/>
  <c r="X57" i="9"/>
  <c r="P58" i="9"/>
  <c r="R58" i="9"/>
  <c r="X58" i="9"/>
  <c r="P59" i="9"/>
  <c r="R59" i="9"/>
  <c r="X59" i="9"/>
  <c r="P60" i="9"/>
  <c r="R60" i="9"/>
  <c r="X60" i="9"/>
  <c r="P61" i="9"/>
  <c r="R61" i="9"/>
  <c r="X61" i="9"/>
  <c r="P62" i="9"/>
  <c r="R62" i="9"/>
  <c r="X62" i="9"/>
  <c r="X53" i="9"/>
  <c r="R53" i="9"/>
  <c r="P53" i="9"/>
  <c r="C54" i="9"/>
  <c r="E54" i="9"/>
  <c r="J54" i="9"/>
  <c r="C55" i="9"/>
  <c r="E55" i="9"/>
  <c r="J55" i="9"/>
  <c r="C56" i="9"/>
  <c r="E56" i="9"/>
  <c r="J56" i="9"/>
  <c r="C57" i="9"/>
  <c r="E57" i="9"/>
  <c r="J57" i="9"/>
  <c r="C58" i="9"/>
  <c r="E58" i="9"/>
  <c r="C59" i="9"/>
  <c r="E59" i="9"/>
  <c r="J59" i="9"/>
  <c r="C60" i="9"/>
  <c r="E60" i="9"/>
  <c r="J60" i="9"/>
  <c r="C61" i="9"/>
  <c r="E61" i="9"/>
  <c r="J61" i="9"/>
  <c r="C62" i="9"/>
  <c r="E62" i="9"/>
  <c r="J62" i="9"/>
  <c r="J53" i="9"/>
  <c r="E53" i="9"/>
  <c r="C53" i="9"/>
  <c r="C43" i="9"/>
  <c r="E43" i="9"/>
  <c r="J43" i="9"/>
  <c r="C44" i="9"/>
  <c r="E44" i="9"/>
  <c r="J44" i="9"/>
  <c r="C45" i="9"/>
  <c r="E45" i="9"/>
  <c r="C46" i="9"/>
  <c r="E46" i="9"/>
  <c r="J46" i="9"/>
  <c r="C47" i="9"/>
  <c r="E47" i="9"/>
  <c r="J47" i="9"/>
  <c r="C48" i="9"/>
  <c r="E48" i="9"/>
  <c r="J48" i="9"/>
  <c r="C49" i="9"/>
  <c r="E49" i="9"/>
  <c r="J49" i="9"/>
  <c r="J42" i="9"/>
  <c r="E42" i="9"/>
  <c r="C42" i="9"/>
  <c r="P43" i="9"/>
  <c r="R43" i="9"/>
  <c r="X43" i="9"/>
  <c r="P44" i="9"/>
  <c r="R44" i="9"/>
  <c r="X44" i="9"/>
  <c r="P45" i="9"/>
  <c r="R45" i="9"/>
  <c r="X45" i="9"/>
  <c r="P46" i="9"/>
  <c r="R46" i="9"/>
  <c r="X46" i="9"/>
  <c r="P47" i="9"/>
  <c r="R47" i="9"/>
  <c r="X47" i="9"/>
  <c r="P48" i="9"/>
  <c r="R48" i="9"/>
  <c r="X48" i="9"/>
  <c r="P49" i="9"/>
  <c r="R49" i="9"/>
  <c r="X49" i="9"/>
  <c r="X42" i="9"/>
  <c r="R42" i="9"/>
  <c r="P42" i="9"/>
  <c r="AJ55" i="9"/>
  <c r="AJ54" i="9"/>
  <c r="AJ53" i="9"/>
  <c r="X5" i="9"/>
  <c r="AK44" i="9"/>
  <c r="AK45" i="9" s="1"/>
  <c r="AK34" i="9"/>
  <c r="AK35" i="9" s="1"/>
  <c r="K63" i="9" l="1"/>
  <c r="AK56" i="9"/>
  <c r="AK60" i="9" s="1"/>
  <c r="Y63" i="9"/>
  <c r="Y50" i="9"/>
  <c r="S63" i="9"/>
  <c r="Q63" i="9"/>
  <c r="E22" i="9"/>
  <c r="C22" i="9"/>
  <c r="D63" i="9"/>
  <c r="N48" i="9"/>
  <c r="N49" i="9"/>
  <c r="B61" i="9"/>
  <c r="B62" i="9"/>
  <c r="B54" i="9"/>
  <c r="B55" i="9"/>
  <c r="B56" i="9"/>
  <c r="B57" i="9"/>
  <c r="B58" i="9"/>
  <c r="B59" i="9"/>
  <c r="B60" i="9"/>
  <c r="B53" i="9"/>
  <c r="I130" i="9"/>
  <c r="F130" i="9"/>
  <c r="D130" i="9"/>
  <c r="Y84" i="9"/>
  <c r="Y80" i="9"/>
  <c r="Y23" i="9"/>
  <c r="J70" i="9"/>
  <c r="K39" i="9"/>
  <c r="X6" i="9"/>
  <c r="Y5" i="9" s="1"/>
  <c r="J112" i="9"/>
  <c r="K5" i="9"/>
  <c r="J12" i="9"/>
  <c r="G69" i="9"/>
  <c r="J69" i="9" s="1"/>
  <c r="Y97" i="9" l="1"/>
  <c r="Y25" i="9"/>
  <c r="Y91" i="9" s="1"/>
  <c r="F63" i="9"/>
  <c r="K73" i="9"/>
  <c r="K50" i="9"/>
  <c r="J113" i="9" s="1"/>
  <c r="J114" i="9"/>
  <c r="F66" i="9"/>
  <c r="D66" i="9"/>
  <c r="D23" i="9"/>
  <c r="J22" i="9"/>
  <c r="K23" i="9" s="1"/>
  <c r="F112" i="9"/>
  <c r="D112" i="9"/>
  <c r="B43" i="9"/>
  <c r="B44" i="9"/>
  <c r="B45" i="9"/>
  <c r="B46" i="9"/>
  <c r="B47" i="9"/>
  <c r="B48" i="9"/>
  <c r="B49" i="9"/>
  <c r="B42" i="9"/>
  <c r="D50" i="9"/>
  <c r="D113" i="9" s="1"/>
  <c r="N43" i="9"/>
  <c r="N44" i="9"/>
  <c r="N45" i="9"/>
  <c r="N46" i="9"/>
  <c r="N47" i="9"/>
  <c r="S50" i="9"/>
  <c r="N42" i="9"/>
  <c r="F39" i="9"/>
  <c r="D39" i="9"/>
  <c r="S84" i="9"/>
  <c r="Q84" i="9"/>
  <c r="S80" i="9"/>
  <c r="S97" i="9" s="1"/>
  <c r="Q80" i="9"/>
  <c r="Q97" i="9" s="1"/>
  <c r="AF49" i="9"/>
  <c r="AG54" i="9"/>
  <c r="R22" i="9" s="1"/>
  <c r="AG53" i="9"/>
  <c r="AE54" i="9"/>
  <c r="P22" i="9" s="1"/>
  <c r="AH49" i="9"/>
  <c r="R21" i="9" l="1"/>
  <c r="AH56" i="9"/>
  <c r="AH60" i="9" s="1"/>
  <c r="Q5" i="9"/>
  <c r="J115" i="9"/>
  <c r="F5" i="9"/>
  <c r="S23" i="9"/>
  <c r="S25" i="9" s="1"/>
  <c r="S91" i="9" s="1"/>
  <c r="K25" i="9"/>
  <c r="Q50" i="9"/>
  <c r="Q75" i="9" s="1"/>
  <c r="D5" i="9"/>
  <c r="D25" i="9" s="1"/>
  <c r="Q90" i="9" s="1"/>
  <c r="F23" i="9"/>
  <c r="Y75" i="9"/>
  <c r="Y95" i="9" s="1"/>
  <c r="D75" i="9"/>
  <c r="Q94" i="9" s="1"/>
  <c r="K75" i="9"/>
  <c r="Y94" i="9" s="1"/>
  <c r="F50" i="9"/>
  <c r="S75" i="9"/>
  <c r="D115" i="9"/>
  <c r="AH44" i="9"/>
  <c r="AH45" i="9" s="1"/>
  <c r="AH34" i="9"/>
  <c r="AH35" i="9" s="1"/>
  <c r="AE53" i="9"/>
  <c r="AF56" i="9" s="1"/>
  <c r="AF60" i="9" s="1"/>
  <c r="AF44" i="9"/>
  <c r="AF45" i="9" s="1"/>
  <c r="AF34" i="9"/>
  <c r="AF35" i="9" s="1"/>
  <c r="F25" i="9" l="1"/>
  <c r="S90" i="9" s="1"/>
  <c r="D86" i="9"/>
  <c r="S92" i="9"/>
  <c r="P21" i="9"/>
  <c r="Q23" i="9" s="1"/>
  <c r="Q25" i="9" s="1"/>
  <c r="Q91" i="9" s="1"/>
  <c r="Q92" i="9" s="1"/>
  <c r="Y96" i="9"/>
  <c r="F113" i="9"/>
  <c r="F75" i="9"/>
  <c r="Y86" i="9"/>
  <c r="K86" i="9"/>
  <c r="Y90" i="9"/>
  <c r="Y92" i="9" s="1"/>
  <c r="Q95" i="9"/>
  <c r="Q96" i="9" s="1"/>
  <c r="Y99" i="9" l="1"/>
  <c r="Y106" i="9" s="1"/>
  <c r="F115" i="9"/>
  <c r="Q99" i="9"/>
  <c r="Q86" i="9"/>
  <c r="S95" i="9"/>
  <c r="S86" i="9"/>
  <c r="F86" i="9"/>
  <c r="S94" i="9"/>
  <c r="S96" i="9" l="1"/>
  <c r="S99" i="9" s="1"/>
</calcChain>
</file>

<file path=xl/sharedStrings.xml><?xml version="1.0" encoding="utf-8"?>
<sst xmlns="http://schemas.openxmlformats.org/spreadsheetml/2006/main" count="158" uniqueCount="114">
  <si>
    <t>Employers NIC</t>
  </si>
  <si>
    <t>Dressing, fertilizer, seed</t>
  </si>
  <si>
    <t>Fuel</t>
  </si>
  <si>
    <t>Equipment Finance</t>
  </si>
  <si>
    <t>Equipment Maintenance</t>
  </si>
  <si>
    <t>Minor expenditure</t>
  </si>
  <si>
    <t>Bar stock and cellar gases</t>
  </si>
  <si>
    <t>Food purchases</t>
  </si>
  <si>
    <t>Telephone / internet</t>
  </si>
  <si>
    <t>Uniforms</t>
  </si>
  <si>
    <t>Insurance</t>
  </si>
  <si>
    <t>Depreciation</t>
  </si>
  <si>
    <t>Utilities</t>
  </si>
  <si>
    <t>Sky, BT, TV</t>
  </si>
  <si>
    <t>Amey</t>
  </si>
  <si>
    <t>Grounds</t>
  </si>
  <si>
    <t>Grounds Expenditure</t>
  </si>
  <si>
    <t>Club House Expenditure</t>
  </si>
  <si>
    <t>football</t>
  </si>
  <si>
    <t>50% Contract Catering Charges</t>
  </si>
  <si>
    <t>Direct costs Salaries</t>
  </si>
  <si>
    <t>Bar Turnover</t>
  </si>
  <si>
    <t>Sales</t>
  </si>
  <si>
    <t>Catering Turnover</t>
  </si>
  <si>
    <t>Cost of Sales</t>
  </si>
  <si>
    <t>Gross Profit</t>
  </si>
  <si>
    <t>Combined</t>
  </si>
  <si>
    <t>Bar  &amp; Catering Turnover</t>
  </si>
  <si>
    <t>Purchases</t>
  </si>
  <si>
    <t>Contract Catering Charges</t>
  </si>
  <si>
    <t>15-16</t>
  </si>
  <si>
    <t>16-17</t>
  </si>
  <si>
    <t>Admin Salaries</t>
  </si>
  <si>
    <t>Cleaning Salaries</t>
  </si>
  <si>
    <t>Pension Costs</t>
  </si>
  <si>
    <t>Accountancy &amp; Professional Fees</t>
  </si>
  <si>
    <t>HR Services</t>
  </si>
  <si>
    <t>Legal Charges</t>
  </si>
  <si>
    <t>Contract Cleaning</t>
  </si>
  <si>
    <t>Pavilion Cleaning supplies</t>
  </si>
  <si>
    <t>Bank Charges</t>
  </si>
  <si>
    <t>Finance costs</t>
  </si>
  <si>
    <t>Print/Post/Stationary</t>
  </si>
  <si>
    <t>Computers/Software</t>
  </si>
  <si>
    <t>Pavilion Licences</t>
  </si>
  <si>
    <t>Bar licence application and training</t>
  </si>
  <si>
    <t>Staff Training (Hygiene)</t>
  </si>
  <si>
    <t>Staff Training (weedkiller)</t>
  </si>
  <si>
    <t>Health &amp; Safety</t>
  </si>
  <si>
    <t>Kitchen Equipment</t>
  </si>
  <si>
    <t>Cleaning Equipment</t>
  </si>
  <si>
    <t>Royal Parks Licence/Rent</t>
  </si>
  <si>
    <t>Grounds Contractors</t>
  </si>
  <si>
    <t>Costs to be allocated 75% to Grounds 25% to Club as main activity of NPLSC is provision of grounds</t>
  </si>
  <si>
    <t>Allocated shared costs</t>
  </si>
  <si>
    <t>Total Expenditure</t>
  </si>
  <si>
    <t>Clubhouse</t>
  </si>
  <si>
    <t>Turnover</t>
  </si>
  <si>
    <t>Direct Cost Salaries</t>
  </si>
  <si>
    <t>Salaries</t>
  </si>
  <si>
    <t>Gross Profit: Sports</t>
  </si>
  <si>
    <t>Gross Profit: Social</t>
  </si>
  <si>
    <t>Sports</t>
  </si>
  <si>
    <t>Hire of football 3G pitches</t>
  </si>
  <si>
    <t>Net Profit</t>
  </si>
  <si>
    <t>Consolidated Proft/Loss</t>
  </si>
  <si>
    <t>Pavilion Equipment</t>
  </si>
  <si>
    <t>Pavilion Maintenance</t>
  </si>
  <si>
    <t>Sport GP</t>
  </si>
  <si>
    <t>Social GP</t>
  </si>
  <si>
    <t>Sport exp</t>
  </si>
  <si>
    <t>Social exp</t>
  </si>
  <si>
    <t>Roundings</t>
  </si>
  <si>
    <t>Additional 2017-18</t>
  </si>
  <si>
    <t>Outdoor furniture</t>
  </si>
  <si>
    <t>17-18</t>
  </si>
  <si>
    <t>Sales (membership etc)</t>
  </si>
  <si>
    <t>Newland House</t>
  </si>
  <si>
    <t>Membership Subs</t>
  </si>
  <si>
    <t>NPL Corporate Membership</t>
  </si>
  <si>
    <t>Pitch Hire by NPLSC</t>
  </si>
  <si>
    <t>Zen</t>
  </si>
  <si>
    <t>ESG</t>
  </si>
  <si>
    <t>£1000 pm inc vat</t>
  </si>
  <si>
    <t>2017-18</t>
  </si>
  <si>
    <t>VAT</t>
  </si>
  <si>
    <t>Clubhouse membership</t>
  </si>
  <si>
    <t>2.5% increase in April, review in Sept</t>
  </si>
  <si>
    <t>section hire</t>
  </si>
  <si>
    <t>increase sales through less waste</t>
  </si>
  <si>
    <t>Pavilion costs to be allocated 75% to Grounds, 25% to Club as main activitiy of NPLSC is provision of grounds</t>
  </si>
  <si>
    <t>Allocated Pavillion Costs</t>
  </si>
  <si>
    <t>Reported Profit</t>
  </si>
  <si>
    <t>LGChemist Corporate Membership</t>
  </si>
  <si>
    <t>2nd half year</t>
  </si>
  <si>
    <t>Figures based on guestimates for 17-18 using prior years as starting point</t>
  </si>
  <si>
    <t>Website</t>
  </si>
  <si>
    <t>Sub metering</t>
  </si>
  <si>
    <t>bowls</t>
  </si>
  <si>
    <t>cricket</t>
  </si>
  <si>
    <t>tennis</t>
  </si>
  <si>
    <t>key uncertainties:</t>
  </si>
  <si>
    <t>utilities costs, corporate membership, number of members</t>
  </si>
  <si>
    <t>room hire</t>
  </si>
  <si>
    <t>pool/snooker table</t>
  </si>
  <si>
    <t>figures in red for allocated costs are calculated from table further down</t>
  </si>
  <si>
    <t>donation for cleaning equipment</t>
  </si>
  <si>
    <t>corp sports membership @£35 (table tennis, stanton trophy, water rockets, use of club house) so Vatable</t>
  </si>
  <si>
    <t>Employees NIC</t>
  </si>
  <si>
    <t>donation for club</t>
  </si>
  <si>
    <t>Loss of NPL corporate membership</t>
  </si>
  <si>
    <t>Newland House increase</t>
  </si>
  <si>
    <t>without these 2017 would be</t>
  </si>
  <si>
    <t>pavilion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</si>
</sst>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&quot;£&quot;#,##0"/>
    <numFmt numFmtId="165" formatCode="&quot;£&quot;#,##0.00"/>
    <numFmt numFmtId="166" formatCode="&quot;£&quot;#,##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164" fontId="2" fillId="0" borderId="0" xfId="0" applyNumberFormat="1" applyFont="1" applyBorder="1"/>
    <xf numFmtId="164" fontId="0" fillId="0" borderId="0" xfId="0" applyNumberFormat="1" applyBorder="1"/>
    <xf numFmtId="164" fontId="0" fillId="0" borderId="9" xfId="0" applyNumberForma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164" fontId="0" fillId="0" borderId="0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2" borderId="3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5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1" xfId="0" applyFill="1" applyBorder="1" applyAlignment="1">
      <alignment horizontal="right"/>
    </xf>
    <xf numFmtId="164" fontId="0" fillId="2" borderId="6" xfId="0" applyNumberFormat="1" applyFill="1" applyBorder="1"/>
    <xf numFmtId="164" fontId="0" fillId="2" borderId="10" xfId="0" applyNumberFormat="1" applyFill="1" applyBorder="1"/>
    <xf numFmtId="0" fontId="2" fillId="0" borderId="3" xfId="0" applyFont="1" applyBorder="1"/>
    <xf numFmtId="0" fontId="2" fillId="0" borderId="5" xfId="0" applyFont="1" applyBorder="1"/>
    <xf numFmtId="164" fontId="2" fillId="0" borderId="0" xfId="0" applyNumberFormat="1" applyFont="1" applyBorder="1" applyAlignment="1">
      <alignment horizontal="center"/>
    </xf>
    <xf numFmtId="0" fontId="0" fillId="0" borderId="6" xfId="0" applyBorder="1"/>
    <xf numFmtId="164" fontId="0" fillId="0" borderId="0" xfId="0" applyNumberFormat="1" applyFont="1" applyBorder="1" applyAlignment="1">
      <alignment horizontal="center"/>
    </xf>
    <xf numFmtId="6" fontId="0" fillId="0" borderId="0" xfId="0" applyNumberFormat="1" applyBorder="1"/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wrapText="1"/>
    </xf>
    <xf numFmtId="9" fontId="0" fillId="0" borderId="0" xfId="0" applyNumberFormat="1" applyBorder="1"/>
    <xf numFmtId="0" fontId="0" fillId="0" borderId="5" xfId="0" applyFont="1" applyBorder="1"/>
    <xf numFmtId="164" fontId="0" fillId="0" borderId="5" xfId="0" applyNumberFormat="1" applyBorder="1"/>
    <xf numFmtId="6" fontId="0" fillId="0" borderId="5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64" fontId="2" fillId="0" borderId="6" xfId="0" applyNumberFormat="1" applyFont="1" applyBorder="1" applyAlignment="1">
      <alignment horizontal="center"/>
    </xf>
    <xf numFmtId="9" fontId="2" fillId="0" borderId="0" xfId="0" applyNumberFormat="1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0" fillId="3" borderId="5" xfId="0" applyFill="1" applyBorder="1"/>
    <xf numFmtId="0" fontId="0" fillId="3" borderId="0" xfId="0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0" fillId="3" borderId="8" xfId="0" applyFill="1" applyBorder="1"/>
    <xf numFmtId="164" fontId="0" fillId="3" borderId="9" xfId="0" applyNumberFormat="1" applyFill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0" fillId="2" borderId="3" xfId="0" applyFill="1" applyBorder="1"/>
    <xf numFmtId="164" fontId="1" fillId="0" borderId="0" xfId="0" applyNumberFormat="1" applyFont="1" applyBorder="1"/>
    <xf numFmtId="0" fontId="1" fillId="0" borderId="0" xfId="0" applyFont="1"/>
    <xf numFmtId="165" fontId="0" fillId="2" borderId="0" xfId="0" applyNumberFormat="1" applyFill="1" applyBorder="1"/>
    <xf numFmtId="0" fontId="0" fillId="0" borderId="0" xfId="0" applyFill="1" applyBorder="1"/>
    <xf numFmtId="166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130"/>
  <sheetViews>
    <sheetView tabSelected="1" zoomScaleNormal="100" workbookViewId="0">
      <selection activeCell="J17" sqref="J17"/>
    </sheetView>
  </sheetViews>
  <sheetFormatPr defaultRowHeight="15" x14ac:dyDescent="0.25"/>
  <cols>
    <col min="2" max="2" width="29.85546875" customWidth="1"/>
    <col min="3" max="3" width="10.140625" bestFit="1" customWidth="1"/>
    <col min="5" max="5" width="10.140625" bestFit="1" customWidth="1"/>
    <col min="7" max="7" width="30.85546875" customWidth="1"/>
    <col min="8" max="8" width="6.42578125" customWidth="1"/>
    <col min="9" max="9" width="24" customWidth="1"/>
    <col min="10" max="10" width="10.140625" bestFit="1" customWidth="1"/>
    <col min="14" max="14" width="28.85546875" bestFit="1" customWidth="1"/>
    <col min="15" max="15" width="28.85546875" customWidth="1"/>
    <col min="16" max="16" width="11.140625" style="4" bestFit="1" customWidth="1"/>
    <col min="17" max="17" width="9.140625" style="4"/>
    <col min="18" max="18" width="9.28515625" style="4" bestFit="1" customWidth="1"/>
    <col min="19" max="29" width="9.140625" style="4"/>
    <col min="30" max="30" width="28.28515625" bestFit="1" customWidth="1"/>
    <col min="31" max="33" width="10.140625" bestFit="1" customWidth="1"/>
    <col min="34" max="34" width="10.85546875" bestFit="1" customWidth="1"/>
    <col min="36" max="37" width="10.140625" bestFit="1" customWidth="1"/>
  </cols>
  <sheetData>
    <row r="1" spans="2:28" x14ac:dyDescent="0.25">
      <c r="B1" t="s">
        <v>95</v>
      </c>
      <c r="H1" s="70" t="s">
        <v>105</v>
      </c>
    </row>
    <row r="2" spans="2:28" x14ac:dyDescent="0.25">
      <c r="B2" t="s">
        <v>101</v>
      </c>
      <c r="C2" t="s">
        <v>102</v>
      </c>
    </row>
    <row r="3" spans="2:28" x14ac:dyDescent="0.25">
      <c r="B3" s="36" t="s">
        <v>62</v>
      </c>
      <c r="C3" s="74" t="s">
        <v>30</v>
      </c>
      <c r="D3" s="74"/>
      <c r="E3" s="74" t="s">
        <v>31</v>
      </c>
      <c r="F3" s="74"/>
      <c r="G3" s="2"/>
      <c r="H3" s="2"/>
      <c r="I3" s="2"/>
      <c r="J3" s="75" t="s">
        <v>75</v>
      </c>
      <c r="K3" s="76"/>
      <c r="N3" s="36" t="s">
        <v>56</v>
      </c>
      <c r="O3" s="3"/>
      <c r="P3" s="74" t="s">
        <v>30</v>
      </c>
      <c r="Q3" s="74"/>
      <c r="R3" s="74" t="s">
        <v>31</v>
      </c>
      <c r="S3" s="74"/>
      <c r="T3" s="5"/>
      <c r="U3" s="5"/>
      <c r="V3" s="5"/>
      <c r="W3" s="5"/>
      <c r="X3" s="75" t="s">
        <v>75</v>
      </c>
      <c r="Y3" s="76"/>
      <c r="Z3" s="19"/>
      <c r="AA3" s="19"/>
      <c r="AB3" s="19"/>
    </row>
    <row r="4" spans="2:28" x14ac:dyDescent="0.25">
      <c r="B4" s="37" t="s">
        <v>57</v>
      </c>
      <c r="C4" s="38"/>
      <c r="D4" s="12"/>
      <c r="E4" s="38"/>
      <c r="F4" s="9"/>
      <c r="G4" s="9"/>
      <c r="H4" s="9"/>
      <c r="I4" s="9"/>
      <c r="J4" s="9"/>
      <c r="K4" s="39"/>
      <c r="N4" s="7" t="s">
        <v>57</v>
      </c>
      <c r="O4" s="9"/>
      <c r="P4" s="12"/>
      <c r="Q4" s="12"/>
      <c r="R4" s="12"/>
      <c r="S4" s="12"/>
      <c r="T4" s="12"/>
      <c r="U4" s="12"/>
      <c r="V4" s="12"/>
      <c r="W4" s="12"/>
      <c r="X4" s="12"/>
      <c r="Y4" s="14"/>
    </row>
    <row r="5" spans="2:28" x14ac:dyDescent="0.25">
      <c r="B5" s="7" t="s">
        <v>76</v>
      </c>
      <c r="C5" s="9"/>
      <c r="D5" s="40">
        <f>278141-AF49</f>
        <v>175442.2</v>
      </c>
      <c r="E5" s="18"/>
      <c r="F5" s="40">
        <f>270509-AH49</f>
        <v>165210</v>
      </c>
      <c r="G5" s="9"/>
      <c r="H5" s="9"/>
      <c r="I5" s="9"/>
      <c r="J5" s="12"/>
      <c r="K5" s="14">
        <f>SUM(J5:J19)</f>
        <v>150475</v>
      </c>
      <c r="L5" s="4"/>
      <c r="N5" s="7" t="s">
        <v>22</v>
      </c>
      <c r="O5" s="9" t="s">
        <v>89</v>
      </c>
      <c r="P5" s="12"/>
      <c r="Q5" s="12">
        <f>AF49</f>
        <v>102698.8</v>
      </c>
      <c r="R5" s="12"/>
      <c r="S5" s="12">
        <f>AH49+SUM(S8:S10)</f>
        <v>118816.32000000001</v>
      </c>
      <c r="T5" s="12"/>
      <c r="U5" s="12"/>
      <c r="V5" s="12" t="s">
        <v>85</v>
      </c>
      <c r="W5" s="12"/>
      <c r="X5" s="12">
        <f>AK49</f>
        <v>108000</v>
      </c>
      <c r="Y5" s="14">
        <f>SUM(X5:X11)</f>
        <v>123216.66666666667</v>
      </c>
    </row>
    <row r="6" spans="2:28" x14ac:dyDescent="0.25">
      <c r="B6" s="7" t="s">
        <v>78</v>
      </c>
      <c r="C6" s="9"/>
      <c r="D6" s="40"/>
      <c r="E6" s="18"/>
      <c r="F6" s="40"/>
      <c r="G6" s="41">
        <v>75</v>
      </c>
      <c r="H6" s="41"/>
      <c r="I6" s="9">
        <v>300</v>
      </c>
      <c r="J6" s="12">
        <f>I6*G6</f>
        <v>22500</v>
      </c>
      <c r="K6" s="14"/>
      <c r="L6" s="4"/>
      <c r="N6" s="47" t="s">
        <v>86</v>
      </c>
      <c r="O6" s="9"/>
      <c r="P6" s="12"/>
      <c r="Q6" s="12"/>
      <c r="R6" s="12"/>
      <c r="S6" s="12"/>
      <c r="T6" s="12">
        <v>35</v>
      </c>
      <c r="U6" s="48">
        <v>100</v>
      </c>
      <c r="V6" s="49">
        <v>0.2</v>
      </c>
      <c r="W6" s="12"/>
      <c r="X6" s="12">
        <f>(T6*U6)/(1+V6)</f>
        <v>2916.666666666667</v>
      </c>
      <c r="Y6" s="14"/>
    </row>
    <row r="7" spans="2:28" ht="27.75" customHeight="1" x14ac:dyDescent="0.25">
      <c r="B7" s="7" t="s">
        <v>79</v>
      </c>
      <c r="C7" s="12">
        <v>19520</v>
      </c>
      <c r="D7" s="40"/>
      <c r="E7" s="18"/>
      <c r="F7" s="40"/>
      <c r="G7" s="42" t="s">
        <v>107</v>
      </c>
      <c r="H7" s="42">
        <v>780</v>
      </c>
      <c r="I7" s="43">
        <v>0.5</v>
      </c>
      <c r="J7" s="12">
        <f>H7*35*I7/1.2</f>
        <v>11375</v>
      </c>
      <c r="K7" s="14"/>
      <c r="L7" s="4"/>
      <c r="N7" s="7"/>
      <c r="O7" s="9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spans="2:28" ht="21.75" customHeight="1" x14ac:dyDescent="0.25">
      <c r="B8" s="7" t="s">
        <v>79</v>
      </c>
      <c r="C8" s="12"/>
      <c r="D8" s="40"/>
      <c r="E8" s="18"/>
      <c r="F8" s="40"/>
      <c r="G8" s="42" t="s">
        <v>94</v>
      </c>
      <c r="H8" s="42">
        <v>780</v>
      </c>
      <c r="I8" s="43">
        <v>0</v>
      </c>
      <c r="J8" s="12">
        <f>H8*35*I8/1.2</f>
        <v>0</v>
      </c>
      <c r="K8" s="14"/>
      <c r="L8" s="73"/>
      <c r="N8" s="7" t="s">
        <v>103</v>
      </c>
      <c r="O8" s="9"/>
      <c r="P8" s="12"/>
      <c r="Q8" s="12"/>
      <c r="R8" s="12"/>
      <c r="S8" s="12">
        <v>8082.3</v>
      </c>
      <c r="T8" s="12"/>
      <c r="U8" s="12"/>
      <c r="V8" s="12"/>
      <c r="W8" s="12"/>
      <c r="X8" s="12">
        <v>8000</v>
      </c>
      <c r="Y8" s="14"/>
    </row>
    <row r="9" spans="2:28" x14ac:dyDescent="0.25">
      <c r="B9" s="7" t="s">
        <v>77</v>
      </c>
      <c r="C9" s="12"/>
      <c r="D9" s="40"/>
      <c r="E9" s="18"/>
      <c r="F9" s="40"/>
      <c r="G9" s="9"/>
      <c r="H9" s="9"/>
      <c r="I9" s="9"/>
      <c r="J9" s="12">
        <v>45000</v>
      </c>
      <c r="K9" s="14"/>
      <c r="L9" s="4"/>
      <c r="N9" s="7" t="s">
        <v>104</v>
      </c>
      <c r="O9" s="9"/>
      <c r="P9" s="12"/>
      <c r="Q9" s="12"/>
      <c r="R9" s="12"/>
      <c r="S9" s="12">
        <f>303.5+333.34</f>
        <v>636.83999999999992</v>
      </c>
      <c r="T9" s="12"/>
      <c r="U9" s="12"/>
      <c r="V9" s="12"/>
      <c r="W9" s="12"/>
      <c r="X9" s="12">
        <v>600</v>
      </c>
      <c r="Y9" s="14"/>
    </row>
    <row r="10" spans="2:28" x14ac:dyDescent="0.25">
      <c r="B10" s="7" t="s">
        <v>80</v>
      </c>
      <c r="C10" s="12"/>
      <c r="D10" s="40"/>
      <c r="E10" s="18"/>
      <c r="F10" s="40"/>
      <c r="G10" s="9"/>
      <c r="H10" s="9"/>
      <c r="I10" s="9"/>
      <c r="J10" s="12">
        <v>3000</v>
      </c>
      <c r="K10" s="14"/>
      <c r="L10" s="4"/>
      <c r="N10" s="7" t="s">
        <v>106</v>
      </c>
      <c r="O10" s="9"/>
      <c r="P10" s="12"/>
      <c r="Q10" s="12"/>
      <c r="R10" s="12"/>
      <c r="S10" s="12">
        <v>4798.18</v>
      </c>
      <c r="T10" s="12"/>
      <c r="U10" s="12"/>
      <c r="V10" s="12"/>
      <c r="W10" s="12"/>
      <c r="X10" s="12">
        <v>0</v>
      </c>
      <c r="Y10" s="14"/>
    </row>
    <row r="11" spans="2:28" x14ac:dyDescent="0.25">
      <c r="B11" s="7" t="s">
        <v>81</v>
      </c>
      <c r="C11" s="12"/>
      <c r="D11" s="40"/>
      <c r="E11" s="18"/>
      <c r="F11" s="40"/>
      <c r="G11" s="9"/>
      <c r="H11" s="9"/>
      <c r="I11" s="9"/>
      <c r="J11" s="12">
        <f>(300*12/1.2)+(300*12)</f>
        <v>6600</v>
      </c>
      <c r="K11" s="14"/>
      <c r="L11" s="4"/>
      <c r="N11" s="7" t="s">
        <v>109</v>
      </c>
      <c r="O11" s="9"/>
      <c r="P11" s="12"/>
      <c r="Q11" s="12"/>
      <c r="R11" s="12"/>
      <c r="S11" s="12"/>
      <c r="T11" s="12"/>
      <c r="U11" s="12"/>
      <c r="V11" s="12"/>
      <c r="W11" s="12"/>
      <c r="X11" s="12">
        <v>3700</v>
      </c>
      <c r="Y11" s="14"/>
    </row>
    <row r="12" spans="2:28" x14ac:dyDescent="0.25">
      <c r="B12" s="7" t="s">
        <v>82</v>
      </c>
      <c r="C12" s="12"/>
      <c r="D12" s="40"/>
      <c r="E12" s="18"/>
      <c r="F12" s="40"/>
      <c r="G12" s="9" t="s">
        <v>83</v>
      </c>
      <c r="H12" s="9"/>
      <c r="I12" s="9"/>
      <c r="J12" s="12">
        <f>(12*1000)/1.2</f>
        <v>10000</v>
      </c>
      <c r="K12" s="14"/>
      <c r="L12" s="4"/>
      <c r="N12" s="7"/>
      <c r="O12" s="9"/>
      <c r="P12" s="12"/>
      <c r="Q12" s="12"/>
      <c r="R12" s="12"/>
      <c r="S12" s="12"/>
      <c r="T12" s="12"/>
      <c r="U12" s="12"/>
      <c r="V12" s="12"/>
      <c r="W12" s="12"/>
      <c r="X12" s="12"/>
      <c r="Y12" s="14"/>
    </row>
    <row r="13" spans="2:28" x14ac:dyDescent="0.25">
      <c r="B13" s="7" t="s">
        <v>88</v>
      </c>
      <c r="C13" s="12">
        <v>47513</v>
      </c>
      <c r="D13" s="40"/>
      <c r="E13" s="18"/>
      <c r="F13" s="40"/>
      <c r="G13" s="9" t="s">
        <v>88</v>
      </c>
      <c r="H13" s="9"/>
      <c r="I13" s="9"/>
      <c r="J13" s="12"/>
      <c r="K13" s="14"/>
      <c r="L13" s="4"/>
      <c r="N13" s="7"/>
      <c r="O13" s="9"/>
      <c r="P13" s="12"/>
      <c r="Q13" s="12"/>
      <c r="R13" s="12"/>
      <c r="S13" s="12"/>
      <c r="T13" s="12"/>
      <c r="U13" s="12"/>
      <c r="V13" s="12"/>
      <c r="W13" s="12"/>
      <c r="X13" s="12"/>
      <c r="Y13" s="14"/>
    </row>
    <row r="14" spans="2:28" x14ac:dyDescent="0.25">
      <c r="B14" s="7" t="s">
        <v>98</v>
      </c>
      <c r="C14" s="12"/>
      <c r="D14" s="40"/>
      <c r="E14" s="18"/>
      <c r="F14" s="40"/>
      <c r="G14" s="9"/>
      <c r="H14" s="9"/>
      <c r="I14" s="9"/>
      <c r="J14" s="12">
        <v>6000</v>
      </c>
      <c r="K14" s="14"/>
      <c r="L14" s="4"/>
      <c r="N14" s="7"/>
      <c r="O14" s="9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2:28" x14ac:dyDescent="0.25">
      <c r="B15" s="7" t="s">
        <v>99</v>
      </c>
      <c r="C15" s="12"/>
      <c r="D15" s="40"/>
      <c r="E15" s="18"/>
      <c r="F15" s="40"/>
      <c r="G15" s="9"/>
      <c r="H15" s="9"/>
      <c r="I15" s="9"/>
      <c r="J15" s="12">
        <v>18000</v>
      </c>
      <c r="K15" s="14"/>
      <c r="L15" s="4"/>
      <c r="N15" s="7"/>
      <c r="O15" s="9"/>
      <c r="P15" s="12"/>
      <c r="Q15" s="12"/>
      <c r="R15" s="12"/>
      <c r="S15" s="12"/>
      <c r="T15" s="12"/>
      <c r="U15" s="12"/>
      <c r="V15" s="12"/>
      <c r="W15" s="12"/>
      <c r="X15" s="12"/>
      <c r="Y15" s="14"/>
    </row>
    <row r="16" spans="2:28" x14ac:dyDescent="0.25">
      <c r="B16" s="7" t="s">
        <v>18</v>
      </c>
      <c r="C16" s="12"/>
      <c r="D16" s="40"/>
      <c r="E16" s="18"/>
      <c r="F16" s="40"/>
      <c r="G16" s="9"/>
      <c r="H16" s="9"/>
      <c r="I16" s="9"/>
      <c r="J16" s="12">
        <v>18000</v>
      </c>
      <c r="K16" s="14"/>
      <c r="L16" s="4"/>
      <c r="N16" s="7"/>
      <c r="O16" s="9"/>
      <c r="P16" s="12"/>
      <c r="Q16" s="12"/>
      <c r="R16" s="12"/>
      <c r="S16" s="12"/>
      <c r="T16" s="12"/>
      <c r="U16" s="12"/>
      <c r="V16" s="12"/>
      <c r="W16" s="12"/>
      <c r="X16" s="12"/>
      <c r="Y16" s="14"/>
    </row>
    <row r="17" spans="2:37" x14ac:dyDescent="0.25">
      <c r="B17" s="7" t="s">
        <v>100</v>
      </c>
      <c r="C17" s="12"/>
      <c r="D17" s="40"/>
      <c r="E17" s="18"/>
      <c r="F17" s="40"/>
      <c r="G17" s="9"/>
      <c r="H17" s="9"/>
      <c r="I17" s="9"/>
      <c r="J17" s="12">
        <v>10000</v>
      </c>
      <c r="K17" s="14"/>
      <c r="L17" s="4"/>
      <c r="N17" s="7"/>
      <c r="O17" s="9"/>
      <c r="P17" s="12"/>
      <c r="Q17" s="12"/>
      <c r="R17" s="12"/>
      <c r="S17" s="12"/>
      <c r="T17" s="12"/>
      <c r="U17" s="12"/>
      <c r="V17" s="12"/>
      <c r="W17" s="12"/>
      <c r="X17" s="12"/>
      <c r="Y17" s="14"/>
    </row>
    <row r="18" spans="2:37" x14ac:dyDescent="0.25">
      <c r="C18" s="12"/>
      <c r="D18" s="40"/>
      <c r="E18" s="18"/>
      <c r="F18" s="40"/>
      <c r="G18" s="9"/>
      <c r="H18" s="9"/>
      <c r="I18" s="12">
        <f>SUM(J14:J17)</f>
        <v>52000</v>
      </c>
      <c r="J18" s="12"/>
      <c r="K18" s="14"/>
      <c r="L18" s="4"/>
      <c r="N18" s="7"/>
      <c r="O18" s="9"/>
      <c r="P18" s="12"/>
      <c r="Q18" s="12"/>
      <c r="R18" s="12"/>
      <c r="S18" s="12"/>
      <c r="T18" s="12"/>
      <c r="U18" s="12"/>
      <c r="V18" s="12"/>
      <c r="W18" s="12"/>
      <c r="X18" s="12"/>
      <c r="Y18" s="14"/>
    </row>
    <row r="19" spans="2:37" x14ac:dyDescent="0.25">
      <c r="B19" s="7" t="s">
        <v>93</v>
      </c>
      <c r="C19" s="38"/>
      <c r="D19" s="12"/>
      <c r="E19" s="38"/>
      <c r="F19" s="12"/>
      <c r="G19" s="9"/>
      <c r="H19" s="9"/>
      <c r="I19" s="9"/>
      <c r="J19" s="9"/>
      <c r="K19" s="39"/>
      <c r="N19" s="7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4"/>
    </row>
    <row r="20" spans="2:37" x14ac:dyDescent="0.25">
      <c r="B20" s="37" t="s">
        <v>24</v>
      </c>
      <c r="C20" s="38"/>
      <c r="D20" s="12"/>
      <c r="E20" s="38"/>
      <c r="F20" s="9"/>
      <c r="G20" s="9"/>
      <c r="H20" s="9"/>
      <c r="I20" s="9"/>
      <c r="J20" s="9"/>
      <c r="K20" s="39"/>
      <c r="N20" s="37" t="s">
        <v>24</v>
      </c>
      <c r="O20" s="8"/>
      <c r="P20" s="12"/>
      <c r="Q20" s="12"/>
      <c r="R20" s="12"/>
      <c r="S20" s="12"/>
      <c r="T20" s="12"/>
      <c r="U20" s="12"/>
      <c r="V20" s="12"/>
      <c r="W20" s="12"/>
      <c r="X20" s="12"/>
      <c r="Y20" s="14"/>
    </row>
    <row r="21" spans="2:37" x14ac:dyDescent="0.25">
      <c r="B21" s="7"/>
      <c r="C21" s="9"/>
      <c r="D21" s="9"/>
      <c r="E21" s="9"/>
      <c r="F21" s="9"/>
      <c r="G21" s="9"/>
      <c r="H21" s="9"/>
      <c r="I21" s="9"/>
      <c r="J21" s="9"/>
      <c r="K21" s="39"/>
      <c r="N21" s="7" t="s">
        <v>28</v>
      </c>
      <c r="O21" s="9"/>
      <c r="P21" s="12">
        <f>AE53</f>
        <v>57323.4</v>
      </c>
      <c r="Q21" s="12"/>
      <c r="R21" s="12">
        <f>AG53</f>
        <v>61634</v>
      </c>
      <c r="S21" s="12"/>
      <c r="T21" s="12"/>
      <c r="U21" s="12"/>
      <c r="V21" s="12"/>
      <c r="W21" s="12"/>
      <c r="X21" s="12">
        <v>54000</v>
      </c>
      <c r="Y21" s="14"/>
    </row>
    <row r="22" spans="2:37" x14ac:dyDescent="0.25">
      <c r="B22" s="7" t="s">
        <v>58</v>
      </c>
      <c r="C22" s="40">
        <f>98069-AE55</f>
        <v>51334</v>
      </c>
      <c r="D22" s="12"/>
      <c r="E22" s="40">
        <f>104797-AG55</f>
        <v>54614</v>
      </c>
      <c r="F22" s="9"/>
      <c r="G22" s="9" t="s">
        <v>87</v>
      </c>
      <c r="H22" s="9"/>
      <c r="I22" s="44">
        <v>0.05</v>
      </c>
      <c r="J22" s="12">
        <f>E22*(1+I22)</f>
        <v>57344.700000000004</v>
      </c>
      <c r="K22" s="14"/>
      <c r="N22" s="7" t="s">
        <v>59</v>
      </c>
      <c r="O22" s="9"/>
      <c r="P22" s="12">
        <f>AE54+AE55</f>
        <v>46735</v>
      </c>
      <c r="Q22" s="12"/>
      <c r="R22" s="12">
        <f>AG54+AG55</f>
        <v>61171</v>
      </c>
      <c r="S22" s="12"/>
      <c r="T22" s="12"/>
      <c r="U22" s="12"/>
      <c r="V22" s="12"/>
      <c r="W22" s="12"/>
      <c r="X22" s="12">
        <f>AJ33+AJ43</f>
        <v>47500</v>
      </c>
      <c r="Y22" s="14"/>
    </row>
    <row r="23" spans="2:37" x14ac:dyDescent="0.25">
      <c r="B23" s="7"/>
      <c r="C23" s="9"/>
      <c r="D23" s="12">
        <f>SUM(C21:C22)</f>
        <v>51334</v>
      </c>
      <c r="E23" s="12"/>
      <c r="F23" s="12">
        <f>SUM(E21:E22)</f>
        <v>54614</v>
      </c>
      <c r="G23" s="9"/>
      <c r="H23" s="9"/>
      <c r="I23" s="9"/>
      <c r="J23" s="12"/>
      <c r="K23" s="14">
        <f>J22</f>
        <v>57344.700000000004</v>
      </c>
      <c r="L23" s="4"/>
      <c r="N23" s="7"/>
      <c r="O23" s="9"/>
      <c r="P23" s="12"/>
      <c r="Q23" s="12">
        <f>SUM(P21:P22)</f>
        <v>104058.4</v>
      </c>
      <c r="R23" s="12"/>
      <c r="S23" s="12">
        <f>SUM(R21:R22)</f>
        <v>122805</v>
      </c>
      <c r="T23" s="12"/>
      <c r="U23" s="12"/>
      <c r="V23" s="12"/>
      <c r="W23" s="12"/>
      <c r="X23" s="12"/>
      <c r="Y23" s="14">
        <f>SUM(X21:X22)</f>
        <v>101500</v>
      </c>
    </row>
    <row r="24" spans="2:37" x14ac:dyDescent="0.25">
      <c r="B24" s="7"/>
      <c r="C24" s="9"/>
      <c r="D24" s="12"/>
      <c r="E24" s="12"/>
      <c r="F24" s="12"/>
      <c r="G24" s="9"/>
      <c r="H24" s="9"/>
      <c r="I24" s="9"/>
      <c r="J24" s="12"/>
      <c r="K24" s="14"/>
      <c r="L24" s="4"/>
      <c r="N24" s="7"/>
      <c r="O24" s="9"/>
      <c r="P24" s="12"/>
      <c r="Q24" s="12"/>
      <c r="R24" s="12"/>
      <c r="S24" s="12"/>
      <c r="T24" s="12"/>
      <c r="U24" s="12"/>
      <c r="V24" s="12"/>
      <c r="W24" s="12"/>
      <c r="X24" s="12"/>
      <c r="Y24" s="14"/>
    </row>
    <row r="25" spans="2:37" x14ac:dyDescent="0.25">
      <c r="B25" s="37" t="s">
        <v>60</v>
      </c>
      <c r="C25" s="9"/>
      <c r="D25" s="6">
        <f>D5-D23</f>
        <v>124108.20000000001</v>
      </c>
      <c r="E25" s="5"/>
      <c r="F25" s="6">
        <f>F5-F23</f>
        <v>110596</v>
      </c>
      <c r="G25" s="9"/>
      <c r="H25" s="9"/>
      <c r="I25" s="9"/>
      <c r="J25" s="12"/>
      <c r="K25" s="16">
        <f>K5-K23</f>
        <v>93130.299999999988</v>
      </c>
      <c r="L25" s="4"/>
      <c r="N25" s="37" t="s">
        <v>61</v>
      </c>
      <c r="O25" s="8"/>
      <c r="P25" s="12"/>
      <c r="Q25" s="6">
        <f>Q5-Q23</f>
        <v>-1359.5999999999913</v>
      </c>
      <c r="R25" s="5"/>
      <c r="S25" s="6">
        <f>S5-S23</f>
        <v>-3988.679999999993</v>
      </c>
      <c r="T25" s="11"/>
      <c r="U25" s="11"/>
      <c r="V25" s="11"/>
      <c r="W25" s="11"/>
      <c r="X25" s="11"/>
      <c r="Y25" s="16">
        <f>Y5-Y23</f>
        <v>21716.666666666672</v>
      </c>
      <c r="Z25" s="11"/>
      <c r="AA25" s="11"/>
      <c r="AB25" s="11"/>
    </row>
    <row r="26" spans="2:37" x14ac:dyDescent="0.25">
      <c r="B26" s="7"/>
      <c r="C26" s="9"/>
      <c r="D26" s="9"/>
      <c r="E26" s="9"/>
      <c r="F26" s="9"/>
      <c r="G26" s="9"/>
      <c r="H26" s="9"/>
      <c r="I26" s="9"/>
      <c r="J26" s="9"/>
      <c r="K26" s="39"/>
      <c r="N26" s="7"/>
      <c r="O26" s="9"/>
      <c r="P26" s="12"/>
      <c r="Q26" s="12"/>
      <c r="R26" s="12"/>
      <c r="S26" s="38"/>
      <c r="T26" s="38"/>
      <c r="U26" s="38"/>
      <c r="V26" s="38"/>
      <c r="W26" s="38"/>
      <c r="X26" s="38"/>
      <c r="Y26" s="50"/>
      <c r="Z26" s="20"/>
      <c r="AA26" s="20"/>
      <c r="AB26" s="20"/>
      <c r="AC26" s="20"/>
      <c r="AE26" s="19" t="s">
        <v>30</v>
      </c>
      <c r="AF26" s="19"/>
      <c r="AG26" s="19" t="s">
        <v>31</v>
      </c>
      <c r="AJ26" t="s">
        <v>75</v>
      </c>
    </row>
    <row r="27" spans="2:37" x14ac:dyDescent="0.25">
      <c r="B27" s="37" t="s">
        <v>16</v>
      </c>
      <c r="C27" s="9"/>
      <c r="D27" s="9"/>
      <c r="E27" s="9"/>
      <c r="F27" s="9"/>
      <c r="G27" s="9"/>
      <c r="H27" s="9"/>
      <c r="I27" s="9"/>
      <c r="J27" s="9"/>
      <c r="K27" s="39"/>
      <c r="N27" s="37" t="s">
        <v>17</v>
      </c>
      <c r="O27" s="8"/>
      <c r="P27" s="12"/>
      <c r="Q27" s="12"/>
      <c r="R27" s="12"/>
      <c r="S27" s="12"/>
      <c r="T27" s="12"/>
      <c r="U27" s="12"/>
      <c r="V27" s="12"/>
      <c r="W27" s="12"/>
      <c r="X27" s="12"/>
      <c r="Y27" s="14"/>
      <c r="AD27" s="1" t="s">
        <v>21</v>
      </c>
    </row>
    <row r="28" spans="2:37" x14ac:dyDescent="0.25">
      <c r="B28" s="7" t="s">
        <v>51</v>
      </c>
      <c r="C28" s="12">
        <v>5825</v>
      </c>
      <c r="D28" s="12"/>
      <c r="E28" s="12">
        <v>3745</v>
      </c>
      <c r="F28" s="9"/>
      <c r="G28" s="9"/>
      <c r="H28" s="9"/>
      <c r="I28" s="9"/>
      <c r="J28" s="12">
        <v>4000</v>
      </c>
      <c r="K28" s="39"/>
      <c r="N28" s="7"/>
      <c r="O28" s="9"/>
      <c r="P28" s="12"/>
      <c r="Q28" s="12"/>
      <c r="R28" s="12"/>
      <c r="S28" s="12"/>
      <c r="T28" s="12"/>
      <c r="U28" s="12"/>
      <c r="V28" s="12"/>
      <c r="W28" s="12"/>
      <c r="X28" s="12"/>
      <c r="Y28" s="14"/>
      <c r="AD28" t="s">
        <v>22</v>
      </c>
      <c r="AF28" s="4">
        <v>65803.8</v>
      </c>
      <c r="AH28" s="4">
        <v>76736</v>
      </c>
      <c r="AJ28" s="4"/>
      <c r="AK28" s="4">
        <v>75000</v>
      </c>
    </row>
    <row r="29" spans="2:37" x14ac:dyDescent="0.25">
      <c r="B29" s="45" t="s">
        <v>34</v>
      </c>
      <c r="C29" s="9"/>
      <c r="D29" s="9"/>
      <c r="E29" s="12">
        <v>557</v>
      </c>
      <c r="F29" s="9"/>
      <c r="G29" s="9"/>
      <c r="H29" s="9"/>
      <c r="I29" s="9"/>
      <c r="J29" s="12">
        <v>600</v>
      </c>
      <c r="K29" s="39"/>
      <c r="N29" s="7" t="s">
        <v>34</v>
      </c>
      <c r="O29" s="9"/>
      <c r="P29" s="12"/>
      <c r="Q29" s="12"/>
      <c r="R29" s="12"/>
      <c r="S29" s="12"/>
      <c r="T29" s="12"/>
      <c r="U29" s="12"/>
      <c r="V29" s="12"/>
      <c r="W29" s="12"/>
      <c r="X29" s="12"/>
      <c r="Y29" s="14"/>
      <c r="AE29" s="4"/>
      <c r="AF29" s="4"/>
      <c r="AG29" s="4"/>
      <c r="AH29" s="4"/>
      <c r="AJ29" s="4"/>
      <c r="AK29" s="4"/>
    </row>
    <row r="30" spans="2:37" x14ac:dyDescent="0.25">
      <c r="B30" s="7" t="s">
        <v>0</v>
      </c>
      <c r="C30" s="12">
        <v>6963</v>
      </c>
      <c r="D30" s="12"/>
      <c r="E30" s="12">
        <v>4493</v>
      </c>
      <c r="F30" s="9"/>
      <c r="G30" s="9"/>
      <c r="H30" s="9"/>
      <c r="I30" s="9"/>
      <c r="J30" s="12">
        <v>5000</v>
      </c>
      <c r="K30" s="39"/>
      <c r="N30" s="7" t="s">
        <v>108</v>
      </c>
      <c r="O30" s="9"/>
      <c r="P30" s="12"/>
      <c r="Q30" s="12"/>
      <c r="R30" s="12"/>
      <c r="S30" s="12"/>
      <c r="T30" s="12"/>
      <c r="U30" s="12"/>
      <c r="V30" s="12"/>
      <c r="W30" s="12"/>
      <c r="X30" s="12">
        <v>2000</v>
      </c>
      <c r="Y30" s="14"/>
      <c r="AD30" s="1" t="s">
        <v>24</v>
      </c>
      <c r="AE30" s="4"/>
      <c r="AF30" s="4"/>
      <c r="AG30" s="4"/>
      <c r="AH30" s="4"/>
      <c r="AJ30" s="4"/>
      <c r="AK30" s="4"/>
    </row>
    <row r="31" spans="2:37" x14ac:dyDescent="0.25">
      <c r="B31" s="7" t="s">
        <v>5</v>
      </c>
      <c r="C31" s="12">
        <v>336</v>
      </c>
      <c r="D31" s="12"/>
      <c r="E31" s="12">
        <v>522</v>
      </c>
      <c r="F31" s="9"/>
      <c r="G31" s="9"/>
      <c r="H31" s="9"/>
      <c r="I31" s="9"/>
      <c r="J31" s="12">
        <v>1000</v>
      </c>
      <c r="K31" s="39"/>
      <c r="N31" s="7"/>
      <c r="O31" s="9"/>
      <c r="P31" s="12"/>
      <c r="Q31" s="12"/>
      <c r="R31" s="12"/>
      <c r="S31" s="12"/>
      <c r="T31" s="12"/>
      <c r="U31" s="12"/>
      <c r="V31" s="12"/>
      <c r="W31" s="12"/>
      <c r="X31" s="12"/>
      <c r="Y31" s="14">
        <f>SUM(X29:X30)</f>
        <v>2000</v>
      </c>
      <c r="AD31" t="s">
        <v>6</v>
      </c>
      <c r="AE31" s="4">
        <v>41216.400000000001</v>
      </c>
      <c r="AF31" s="4"/>
      <c r="AG31" s="4">
        <v>44387</v>
      </c>
      <c r="AH31" s="4"/>
      <c r="AJ31" s="4">
        <v>40500</v>
      </c>
      <c r="AK31" s="4"/>
    </row>
    <row r="32" spans="2:37" x14ac:dyDescent="0.25">
      <c r="B32" s="7" t="s">
        <v>38</v>
      </c>
      <c r="C32" s="12">
        <v>0</v>
      </c>
      <c r="D32" s="12"/>
      <c r="E32" s="12">
        <v>2525</v>
      </c>
      <c r="F32" s="9"/>
      <c r="G32" s="9"/>
      <c r="H32" s="9"/>
      <c r="I32" s="9"/>
      <c r="J32" s="12">
        <v>5000</v>
      </c>
      <c r="K32" s="39"/>
      <c r="N32" s="7"/>
      <c r="O32" s="9"/>
      <c r="P32" s="12"/>
      <c r="Q32" s="12"/>
      <c r="R32" s="12"/>
      <c r="S32" s="12"/>
      <c r="T32" s="12"/>
      <c r="U32" s="12"/>
      <c r="V32" s="12"/>
      <c r="W32" s="12"/>
      <c r="X32" s="12"/>
      <c r="Y32" s="14"/>
      <c r="AD32" t="s">
        <v>19</v>
      </c>
      <c r="AE32" s="4">
        <v>0</v>
      </c>
      <c r="AF32" s="4"/>
      <c r="AG32" s="4">
        <v>5494</v>
      </c>
      <c r="AH32" s="4"/>
      <c r="AJ32" s="4">
        <v>0</v>
      </c>
      <c r="AK32" s="4"/>
    </row>
    <row r="33" spans="2:37" x14ac:dyDescent="0.25">
      <c r="B33" s="7" t="s">
        <v>1</v>
      </c>
      <c r="C33" s="12">
        <v>12207</v>
      </c>
      <c r="D33" s="12"/>
      <c r="E33" s="12">
        <v>14007</v>
      </c>
      <c r="F33" s="9"/>
      <c r="G33" s="9"/>
      <c r="H33" s="9"/>
      <c r="I33" s="9"/>
      <c r="J33" s="12">
        <v>14500</v>
      </c>
      <c r="K33" s="39"/>
      <c r="N33" s="7"/>
      <c r="O33" s="9"/>
      <c r="P33" s="12"/>
      <c r="Q33" s="12"/>
      <c r="R33" s="12"/>
      <c r="S33" s="12"/>
      <c r="T33" s="12"/>
      <c r="U33" s="12"/>
      <c r="V33" s="12"/>
      <c r="W33" s="12"/>
      <c r="X33" s="12"/>
      <c r="Y33" s="14"/>
      <c r="AD33" t="s">
        <v>20</v>
      </c>
      <c r="AE33" s="4">
        <v>32910.9</v>
      </c>
      <c r="AF33" s="4"/>
      <c r="AG33" s="4">
        <v>28106</v>
      </c>
      <c r="AH33" s="4"/>
      <c r="AJ33" s="4">
        <v>32500</v>
      </c>
      <c r="AK33" s="4"/>
    </row>
    <row r="34" spans="2:37" x14ac:dyDescent="0.25">
      <c r="B34" s="7" t="s">
        <v>2</v>
      </c>
      <c r="C34" s="12">
        <v>908</v>
      </c>
      <c r="D34" s="12"/>
      <c r="E34" s="12">
        <v>1223</v>
      </c>
      <c r="F34" s="9"/>
      <c r="G34" s="9"/>
      <c r="H34" s="9"/>
      <c r="I34" s="9"/>
      <c r="J34" s="12">
        <v>1500</v>
      </c>
      <c r="K34" s="39"/>
      <c r="N34" s="7"/>
      <c r="O34" s="9"/>
      <c r="P34" s="12"/>
      <c r="Q34" s="12"/>
      <c r="R34" s="12"/>
      <c r="S34" s="12"/>
      <c r="T34" s="12"/>
      <c r="U34" s="12"/>
      <c r="V34" s="12"/>
      <c r="W34" s="12"/>
      <c r="X34" s="12"/>
      <c r="Y34" s="14"/>
      <c r="AE34" s="4"/>
      <c r="AF34" s="4">
        <f>SUM(AE31:AE33)</f>
        <v>74127.3</v>
      </c>
      <c r="AG34" s="4"/>
      <c r="AH34" s="4">
        <f>SUM(AG31:AG33)</f>
        <v>77987</v>
      </c>
      <c r="AJ34" s="4"/>
      <c r="AK34" s="4">
        <f>SUM(AJ31:AJ33)</f>
        <v>73000</v>
      </c>
    </row>
    <row r="35" spans="2:37" x14ac:dyDescent="0.25">
      <c r="B35" s="7" t="s">
        <v>3</v>
      </c>
      <c r="C35" s="12">
        <v>1441</v>
      </c>
      <c r="D35" s="12"/>
      <c r="E35" s="12">
        <v>375</v>
      </c>
      <c r="F35" s="9"/>
      <c r="G35" s="9"/>
      <c r="H35" s="9"/>
      <c r="I35" s="9"/>
      <c r="J35" s="12">
        <v>1000</v>
      </c>
      <c r="K35" s="39"/>
      <c r="N35" s="7"/>
      <c r="O35" s="9"/>
      <c r="P35" s="12"/>
      <c r="Q35" s="12"/>
      <c r="R35" s="12"/>
      <c r="S35" s="12"/>
      <c r="T35" s="12"/>
      <c r="U35" s="12"/>
      <c r="V35" s="12"/>
      <c r="W35" s="12"/>
      <c r="X35" s="12"/>
      <c r="Y35" s="14"/>
      <c r="AD35" s="1" t="s">
        <v>25</v>
      </c>
      <c r="AE35" s="4"/>
      <c r="AF35" s="5">
        <f>AF28-AF34</f>
        <v>-8323.5</v>
      </c>
      <c r="AG35" s="5"/>
      <c r="AH35" s="5">
        <f>AH28-AH34</f>
        <v>-1251</v>
      </c>
      <c r="AI35" s="2"/>
      <c r="AJ35" s="5"/>
      <c r="AK35" s="5">
        <f>AK28-AK34</f>
        <v>2000</v>
      </c>
    </row>
    <row r="36" spans="2:37" x14ac:dyDescent="0.25">
      <c r="B36" s="7" t="s">
        <v>4</v>
      </c>
      <c r="C36" s="12">
        <v>5681</v>
      </c>
      <c r="D36" s="12"/>
      <c r="E36" s="12">
        <v>5010</v>
      </c>
      <c r="F36" s="9"/>
      <c r="G36" s="9"/>
      <c r="H36" s="9"/>
      <c r="I36" s="9"/>
      <c r="J36" s="12">
        <v>5500</v>
      </c>
      <c r="K36" s="39"/>
      <c r="N36" s="7"/>
      <c r="O36" s="9"/>
      <c r="P36" s="12"/>
      <c r="Q36" s="12"/>
      <c r="R36" s="12"/>
      <c r="S36" s="12"/>
      <c r="T36" s="12"/>
      <c r="U36" s="12"/>
      <c r="V36" s="12"/>
      <c r="W36" s="12"/>
      <c r="X36" s="12"/>
      <c r="Y36" s="14"/>
      <c r="AE36" s="4"/>
      <c r="AF36" s="4"/>
      <c r="AG36" s="4"/>
      <c r="AH36" s="4"/>
      <c r="AJ36" s="4"/>
      <c r="AK36" s="4"/>
    </row>
    <row r="37" spans="2:37" x14ac:dyDescent="0.25">
      <c r="B37" s="7" t="s">
        <v>52</v>
      </c>
      <c r="C37" s="12">
        <v>3150</v>
      </c>
      <c r="D37" s="12"/>
      <c r="E37" s="12">
        <v>5655</v>
      </c>
      <c r="F37" s="9"/>
      <c r="G37" s="9"/>
      <c r="H37" s="9"/>
      <c r="I37" s="9"/>
      <c r="J37" s="12">
        <v>3500</v>
      </c>
      <c r="K37" s="39"/>
      <c r="N37" s="7"/>
      <c r="O37" s="9"/>
      <c r="P37" s="12"/>
      <c r="Q37" s="12"/>
      <c r="R37" s="12"/>
      <c r="S37" s="12"/>
      <c r="T37" s="12"/>
      <c r="U37" s="12"/>
      <c r="V37" s="12"/>
      <c r="W37" s="12"/>
      <c r="X37" s="12"/>
      <c r="Y37" s="14"/>
      <c r="AD37" s="1" t="s">
        <v>23</v>
      </c>
      <c r="AE37" s="4"/>
      <c r="AF37" s="4"/>
      <c r="AG37" s="4"/>
      <c r="AH37" s="4"/>
      <c r="AJ37" s="4"/>
      <c r="AK37" s="4"/>
    </row>
    <row r="38" spans="2:37" x14ac:dyDescent="0.25">
      <c r="B38" s="7"/>
      <c r="C38" s="12"/>
      <c r="D38" s="12"/>
      <c r="E38" s="12"/>
      <c r="F38" s="9"/>
      <c r="G38" s="9"/>
      <c r="H38" s="9"/>
      <c r="I38" s="9"/>
      <c r="J38" s="9"/>
      <c r="K38" s="39"/>
      <c r="N38" s="7"/>
      <c r="O38" s="9"/>
      <c r="P38" s="12"/>
      <c r="Q38" s="12"/>
      <c r="R38" s="12"/>
      <c r="S38" s="12"/>
      <c r="T38" s="12"/>
      <c r="U38" s="12"/>
      <c r="V38" s="12"/>
      <c r="W38" s="12"/>
      <c r="X38" s="12"/>
      <c r="Y38" s="14"/>
      <c r="AD38" t="s">
        <v>22</v>
      </c>
      <c r="AF38" s="4">
        <v>36896</v>
      </c>
      <c r="AG38" s="4"/>
      <c r="AH38" s="4">
        <v>28563</v>
      </c>
      <c r="AJ38" s="4"/>
      <c r="AK38" s="4">
        <v>35000</v>
      </c>
    </row>
    <row r="39" spans="2:37" x14ac:dyDescent="0.25">
      <c r="B39" s="7"/>
      <c r="C39" s="12"/>
      <c r="D39" s="12">
        <f>SUM(C28:C38)</f>
        <v>36511</v>
      </c>
      <c r="E39" s="12"/>
      <c r="F39" s="12">
        <f>SUM(E28:E38)</f>
        <v>38112</v>
      </c>
      <c r="G39" s="9"/>
      <c r="H39" s="9"/>
      <c r="I39" s="9"/>
      <c r="J39" s="9"/>
      <c r="K39" s="14">
        <f>SUM(J28:J38)</f>
        <v>41600</v>
      </c>
      <c r="N39" s="7"/>
      <c r="O39" s="9"/>
      <c r="P39" s="12"/>
      <c r="Q39" s="12"/>
      <c r="R39" s="12"/>
      <c r="S39" s="12"/>
      <c r="T39" s="12"/>
      <c r="U39" s="12"/>
      <c r="V39" s="12"/>
      <c r="W39" s="12"/>
      <c r="X39" s="12"/>
      <c r="Y39" s="14"/>
      <c r="AE39" s="4"/>
      <c r="AF39" s="4"/>
      <c r="AG39" s="4"/>
      <c r="AH39" s="4"/>
      <c r="AJ39" s="4"/>
    </row>
    <row r="40" spans="2:37" x14ac:dyDescent="0.25">
      <c r="B40" s="7"/>
      <c r="C40" s="9"/>
      <c r="D40" s="9"/>
      <c r="E40" s="9"/>
      <c r="F40" s="9"/>
      <c r="G40" s="9"/>
      <c r="H40" s="9"/>
      <c r="I40" s="9"/>
      <c r="J40" s="9"/>
      <c r="K40" s="39"/>
      <c r="N40" s="7"/>
      <c r="O40" s="9"/>
      <c r="P40" s="12"/>
      <c r="Q40" s="12"/>
      <c r="R40" s="12"/>
      <c r="S40" s="12"/>
      <c r="T40" s="12"/>
      <c r="U40" s="12"/>
      <c r="V40" s="12"/>
      <c r="W40" s="12"/>
      <c r="X40" s="12"/>
      <c r="Y40" s="14"/>
      <c r="AD40" s="1" t="s">
        <v>24</v>
      </c>
      <c r="AE40" s="4"/>
      <c r="AF40" s="4"/>
      <c r="AG40" s="4"/>
      <c r="AH40" s="4"/>
      <c r="AJ40" s="4"/>
    </row>
    <row r="41" spans="2:37" x14ac:dyDescent="0.25">
      <c r="B41" s="37" t="s">
        <v>54</v>
      </c>
      <c r="C41" s="44">
        <v>0.75</v>
      </c>
      <c r="D41" s="12"/>
      <c r="E41" s="12"/>
      <c r="F41" s="12"/>
      <c r="G41" s="9"/>
      <c r="H41" s="9"/>
      <c r="I41" s="9"/>
      <c r="J41" s="9"/>
      <c r="K41" s="39"/>
      <c r="N41" s="37" t="s">
        <v>54</v>
      </c>
      <c r="O41" s="51">
        <v>0.25</v>
      </c>
      <c r="P41" s="12"/>
      <c r="Q41" s="12"/>
      <c r="R41" s="12"/>
      <c r="S41" s="12"/>
      <c r="T41" s="12"/>
      <c r="U41" s="12"/>
      <c r="V41" s="12"/>
      <c r="W41" s="12"/>
      <c r="X41" s="12"/>
      <c r="Y41" s="14"/>
      <c r="AD41" t="s">
        <v>7</v>
      </c>
      <c r="AE41" s="4">
        <v>16107</v>
      </c>
      <c r="AF41" s="4"/>
      <c r="AG41" s="4">
        <v>17247</v>
      </c>
      <c r="AH41" s="4"/>
      <c r="AJ41" s="4">
        <v>16000</v>
      </c>
    </row>
    <row r="42" spans="2:37" x14ac:dyDescent="0.25">
      <c r="B42" s="46" t="str">
        <f t="shared" ref="B42:B49" si="0">B104</f>
        <v>Utilities</v>
      </c>
      <c r="C42" s="69">
        <f>C104*$C$41</f>
        <v>0</v>
      </c>
      <c r="D42" s="69"/>
      <c r="E42" s="69">
        <f>E104*$C$41</f>
        <v>0</v>
      </c>
      <c r="F42" s="12"/>
      <c r="G42" s="9"/>
      <c r="H42" s="9"/>
      <c r="I42" s="9"/>
      <c r="J42" s="69">
        <f>I104*$C$41</f>
        <v>15000</v>
      </c>
      <c r="K42" s="14"/>
      <c r="N42" s="46" t="str">
        <f t="shared" ref="N42:N47" si="1">B104</f>
        <v>Utilities</v>
      </c>
      <c r="O42" s="12"/>
      <c r="P42" s="69">
        <f>C104*$O$41</f>
        <v>0</v>
      </c>
      <c r="Q42" s="69"/>
      <c r="R42" s="69">
        <f>E104*$O$41</f>
        <v>0</v>
      </c>
      <c r="S42" s="69"/>
      <c r="T42" s="69"/>
      <c r="U42" s="69"/>
      <c r="V42" s="69"/>
      <c r="W42" s="69"/>
      <c r="X42" s="69">
        <f>I104*$O$41</f>
        <v>5000</v>
      </c>
      <c r="Y42" s="14"/>
      <c r="AD42" t="s">
        <v>19</v>
      </c>
      <c r="AE42" s="4"/>
      <c r="AF42" s="4"/>
      <c r="AG42" s="4">
        <v>5494</v>
      </c>
      <c r="AH42" s="4"/>
      <c r="AJ42" s="4"/>
    </row>
    <row r="43" spans="2:37" x14ac:dyDescent="0.25">
      <c r="B43" s="46" t="str">
        <f t="shared" si="0"/>
        <v>Accountancy &amp; Professional Fees</v>
      </c>
      <c r="C43" s="69">
        <f t="shared" ref="C43:C49" si="2">C105*$C$41</f>
        <v>1890</v>
      </c>
      <c r="D43" s="69"/>
      <c r="E43" s="69">
        <f t="shared" ref="E43:E49" si="3">E105*$C$41</f>
        <v>2512.5</v>
      </c>
      <c r="F43" s="12"/>
      <c r="G43" s="9"/>
      <c r="H43" s="9"/>
      <c r="I43" s="9"/>
      <c r="J43" s="69">
        <f t="shared" ref="J43:J49" si="4">I105*$C$41</f>
        <v>2625</v>
      </c>
      <c r="K43" s="14"/>
      <c r="N43" s="46" t="str">
        <f t="shared" si="1"/>
        <v>Accountancy &amp; Professional Fees</v>
      </c>
      <c r="O43" s="12"/>
      <c r="P43" s="69">
        <f t="shared" ref="P43:P49" si="5">C105*$O$41</f>
        <v>630</v>
      </c>
      <c r="Q43" s="69"/>
      <c r="R43" s="69">
        <f t="shared" ref="R43:R49" si="6">E105*$O$41</f>
        <v>837.5</v>
      </c>
      <c r="S43" s="69"/>
      <c r="T43" s="69"/>
      <c r="U43" s="69"/>
      <c r="V43" s="69"/>
      <c r="W43" s="69"/>
      <c r="X43" s="69">
        <f t="shared" ref="X43:X49" si="7">I105*$O$41</f>
        <v>875</v>
      </c>
      <c r="Y43" s="14"/>
      <c r="AD43" t="s">
        <v>20</v>
      </c>
      <c r="AE43" s="4">
        <v>13824</v>
      </c>
      <c r="AF43" s="4"/>
      <c r="AG43" s="4">
        <v>22077</v>
      </c>
      <c r="AH43" s="4"/>
      <c r="AJ43" s="4">
        <v>15000</v>
      </c>
    </row>
    <row r="44" spans="2:37" x14ac:dyDescent="0.25">
      <c r="B44" s="46" t="str">
        <f t="shared" si="0"/>
        <v>HR Services</v>
      </c>
      <c r="C44" s="69">
        <f t="shared" si="2"/>
        <v>1110</v>
      </c>
      <c r="D44" s="69"/>
      <c r="E44" s="69">
        <f t="shared" si="3"/>
        <v>1110</v>
      </c>
      <c r="F44" s="12"/>
      <c r="G44" s="9"/>
      <c r="H44" s="9"/>
      <c r="I44" s="9"/>
      <c r="J44" s="69">
        <f t="shared" si="4"/>
        <v>1110</v>
      </c>
      <c r="K44" s="14"/>
      <c r="N44" s="46" t="str">
        <f t="shared" si="1"/>
        <v>HR Services</v>
      </c>
      <c r="O44" s="12"/>
      <c r="P44" s="69">
        <f t="shared" si="5"/>
        <v>370</v>
      </c>
      <c r="Q44" s="69"/>
      <c r="R44" s="69">
        <f t="shared" si="6"/>
        <v>370</v>
      </c>
      <c r="S44" s="69"/>
      <c r="T44" s="69"/>
      <c r="U44" s="69"/>
      <c r="V44" s="69"/>
      <c r="W44" s="69"/>
      <c r="X44" s="69">
        <f t="shared" si="7"/>
        <v>370</v>
      </c>
      <c r="Y44" s="14"/>
      <c r="AE44" s="4"/>
      <c r="AF44" s="4">
        <f>SUM(AE41:AE43)</f>
        <v>29931</v>
      </c>
      <c r="AG44" s="4"/>
      <c r="AH44" s="4">
        <f>SUM(AG41:AG43)</f>
        <v>44818</v>
      </c>
      <c r="AJ44" s="4"/>
      <c r="AK44" s="4">
        <f>SUM(AJ41:AJ43)</f>
        <v>31000</v>
      </c>
    </row>
    <row r="45" spans="2:37" x14ac:dyDescent="0.25">
      <c r="B45" s="46" t="str">
        <f t="shared" si="0"/>
        <v>Legal Charges</v>
      </c>
      <c r="C45" s="69">
        <f t="shared" si="2"/>
        <v>1041</v>
      </c>
      <c r="D45" s="69"/>
      <c r="E45" s="69">
        <f t="shared" si="3"/>
        <v>5123.25</v>
      </c>
      <c r="F45" s="12"/>
      <c r="G45" s="9"/>
      <c r="H45" s="9"/>
      <c r="I45" s="9"/>
      <c r="J45" s="69">
        <f t="shared" si="4"/>
        <v>4500</v>
      </c>
      <c r="K45" s="14"/>
      <c r="N45" s="46" t="str">
        <f t="shared" si="1"/>
        <v>Legal Charges</v>
      </c>
      <c r="O45" s="12"/>
      <c r="P45" s="69">
        <f t="shared" si="5"/>
        <v>347</v>
      </c>
      <c r="Q45" s="69"/>
      <c r="R45" s="69">
        <f t="shared" si="6"/>
        <v>1707.75</v>
      </c>
      <c r="S45" s="69"/>
      <c r="T45" s="69"/>
      <c r="U45" s="69"/>
      <c r="V45" s="69"/>
      <c r="W45" s="69"/>
      <c r="X45" s="69">
        <f t="shared" si="7"/>
        <v>1500</v>
      </c>
      <c r="Y45" s="14"/>
      <c r="AD45" s="1" t="s">
        <v>25</v>
      </c>
      <c r="AE45" s="4"/>
      <c r="AF45" s="5">
        <f>AF38-AF44</f>
        <v>6965</v>
      </c>
      <c r="AG45" s="5"/>
      <c r="AH45" s="5">
        <f>AH38-AH44</f>
        <v>-16255</v>
      </c>
      <c r="AI45" s="2"/>
      <c r="AJ45" s="5"/>
      <c r="AK45" s="5">
        <f>AK38-AK44</f>
        <v>4000</v>
      </c>
    </row>
    <row r="46" spans="2:37" x14ac:dyDescent="0.25">
      <c r="B46" s="46" t="str">
        <f t="shared" si="0"/>
        <v>Print/Post/Stationary</v>
      </c>
      <c r="C46" s="69">
        <f t="shared" si="2"/>
        <v>494.25</v>
      </c>
      <c r="D46" s="69"/>
      <c r="E46" s="69">
        <f t="shared" si="3"/>
        <v>183.75</v>
      </c>
      <c r="F46" s="12"/>
      <c r="G46" s="9"/>
      <c r="H46" s="9"/>
      <c r="I46" s="9"/>
      <c r="J46" s="69">
        <f t="shared" si="4"/>
        <v>375</v>
      </c>
      <c r="K46" s="14"/>
      <c r="N46" s="46" t="str">
        <f t="shared" si="1"/>
        <v>Print/Post/Stationary</v>
      </c>
      <c r="O46" s="12"/>
      <c r="P46" s="69">
        <f t="shared" si="5"/>
        <v>164.75</v>
      </c>
      <c r="Q46" s="69"/>
      <c r="R46" s="69">
        <f t="shared" si="6"/>
        <v>61.25</v>
      </c>
      <c r="S46" s="69"/>
      <c r="T46" s="69"/>
      <c r="U46" s="69"/>
      <c r="V46" s="69"/>
      <c r="W46" s="69"/>
      <c r="X46" s="69">
        <f t="shared" si="7"/>
        <v>125</v>
      </c>
      <c r="Y46" s="14"/>
      <c r="AE46" s="4"/>
      <c r="AF46" s="4"/>
      <c r="AG46" s="4"/>
      <c r="AH46" s="4"/>
      <c r="AJ46" s="4"/>
      <c r="AK46" s="4"/>
    </row>
    <row r="47" spans="2:37" x14ac:dyDescent="0.25">
      <c r="B47" s="46" t="str">
        <f t="shared" si="0"/>
        <v>Computers/Software</v>
      </c>
      <c r="C47" s="69">
        <f t="shared" si="2"/>
        <v>502.5</v>
      </c>
      <c r="D47" s="69"/>
      <c r="E47" s="69">
        <f t="shared" si="3"/>
        <v>90</v>
      </c>
      <c r="F47" s="12"/>
      <c r="G47" s="9"/>
      <c r="H47" s="9"/>
      <c r="I47" s="9"/>
      <c r="J47" s="69">
        <f t="shared" si="4"/>
        <v>540</v>
      </c>
      <c r="K47" s="14"/>
      <c r="N47" s="46" t="str">
        <f t="shared" si="1"/>
        <v>Computers/Software</v>
      </c>
      <c r="O47" s="12"/>
      <c r="P47" s="69">
        <f t="shared" si="5"/>
        <v>167.5</v>
      </c>
      <c r="Q47" s="69"/>
      <c r="R47" s="69">
        <f t="shared" si="6"/>
        <v>30</v>
      </c>
      <c r="S47" s="69"/>
      <c r="T47" s="69"/>
      <c r="U47" s="69"/>
      <c r="V47" s="69"/>
      <c r="W47" s="69"/>
      <c r="X47" s="69">
        <f t="shared" si="7"/>
        <v>180</v>
      </c>
      <c r="Y47" s="14"/>
      <c r="AD47" s="1" t="s">
        <v>26</v>
      </c>
      <c r="AE47" s="4"/>
      <c r="AF47" s="4"/>
      <c r="AG47" s="4"/>
      <c r="AH47" s="4"/>
      <c r="AJ47" s="4"/>
      <c r="AK47" s="4"/>
    </row>
    <row r="48" spans="2:37" x14ac:dyDescent="0.25">
      <c r="B48" s="46" t="str">
        <f t="shared" si="0"/>
        <v>Telephone / internet</v>
      </c>
      <c r="C48" s="69">
        <f t="shared" si="2"/>
        <v>794.25</v>
      </c>
      <c r="D48" s="69"/>
      <c r="E48" s="69">
        <f t="shared" si="3"/>
        <v>768.75</v>
      </c>
      <c r="F48" s="12"/>
      <c r="G48" s="9"/>
      <c r="H48" s="9"/>
      <c r="I48" s="9"/>
      <c r="J48" s="69">
        <f t="shared" si="4"/>
        <v>825</v>
      </c>
      <c r="K48" s="14"/>
      <c r="N48" s="46" t="str">
        <f t="shared" ref="N48:N49" si="8">B110</f>
        <v>Telephone / internet</v>
      </c>
      <c r="O48" s="12"/>
      <c r="P48" s="69">
        <f t="shared" si="5"/>
        <v>264.75</v>
      </c>
      <c r="Q48" s="69"/>
      <c r="R48" s="69">
        <f t="shared" si="6"/>
        <v>256.25</v>
      </c>
      <c r="S48" s="69"/>
      <c r="T48" s="69"/>
      <c r="U48" s="69"/>
      <c r="V48" s="69"/>
      <c r="W48" s="69"/>
      <c r="X48" s="69">
        <f t="shared" si="7"/>
        <v>275</v>
      </c>
      <c r="Y48" s="14"/>
      <c r="AD48" s="1" t="s">
        <v>27</v>
      </c>
      <c r="AE48" s="4"/>
      <c r="AF48" s="4"/>
      <c r="AG48" s="4"/>
      <c r="AH48" s="4"/>
      <c r="AJ48" s="4"/>
      <c r="AK48" s="4"/>
    </row>
    <row r="49" spans="2:37" x14ac:dyDescent="0.25">
      <c r="B49" s="46" t="str">
        <f t="shared" si="0"/>
        <v>Insurance</v>
      </c>
      <c r="C49" s="69">
        <f t="shared" si="2"/>
        <v>2979.75</v>
      </c>
      <c r="D49" s="69"/>
      <c r="E49" s="69">
        <f t="shared" si="3"/>
        <v>1677.75</v>
      </c>
      <c r="F49" s="12"/>
      <c r="G49" s="9"/>
      <c r="H49" s="9"/>
      <c r="I49" s="9"/>
      <c r="J49" s="69">
        <f t="shared" si="4"/>
        <v>2250</v>
      </c>
      <c r="K49" s="14"/>
      <c r="N49" s="46" t="str">
        <f t="shared" si="8"/>
        <v>Insurance</v>
      </c>
      <c r="O49" s="12"/>
      <c r="P49" s="69">
        <f t="shared" si="5"/>
        <v>993.25</v>
      </c>
      <c r="Q49" s="69"/>
      <c r="R49" s="69">
        <f t="shared" si="6"/>
        <v>559.25</v>
      </c>
      <c r="S49" s="69"/>
      <c r="T49" s="69"/>
      <c r="U49" s="69"/>
      <c r="V49" s="69"/>
      <c r="W49" s="69"/>
      <c r="X49" s="69">
        <f t="shared" si="7"/>
        <v>750</v>
      </c>
      <c r="Y49" s="14"/>
      <c r="AD49" t="s">
        <v>22</v>
      </c>
      <c r="AE49" s="4"/>
      <c r="AF49" s="4">
        <f>AF28+AF38-1</f>
        <v>102698.8</v>
      </c>
      <c r="AG49" s="4"/>
      <c r="AH49" s="4">
        <f>AH28+AH38</f>
        <v>105299</v>
      </c>
      <c r="AJ49" s="4"/>
      <c r="AK49" s="4">
        <v>108000</v>
      </c>
    </row>
    <row r="50" spans="2:37" x14ac:dyDescent="0.25">
      <c r="B50" s="7"/>
      <c r="C50" s="12"/>
      <c r="D50" s="12">
        <f>SUM(C42:C49)</f>
        <v>8811.75</v>
      </c>
      <c r="E50" s="12"/>
      <c r="F50" s="12">
        <f>SUM(E42:E49)</f>
        <v>11466</v>
      </c>
      <c r="G50" s="9"/>
      <c r="H50" s="9"/>
      <c r="I50" s="9"/>
      <c r="J50" s="12"/>
      <c r="K50" s="14">
        <f>SUM(J42:J49)</f>
        <v>27225</v>
      </c>
      <c r="N50" s="7"/>
      <c r="O50" s="9"/>
      <c r="P50" s="12"/>
      <c r="Q50" s="12">
        <f>SUM(P42:P49)</f>
        <v>2937.25</v>
      </c>
      <c r="R50" s="12"/>
      <c r="S50" s="12">
        <f>SUM(R42:R49)</f>
        <v>3822</v>
      </c>
      <c r="T50" s="12"/>
      <c r="U50" s="12"/>
      <c r="V50" s="12"/>
      <c r="W50" s="12"/>
      <c r="X50" s="12"/>
      <c r="Y50" s="14">
        <f>SUM(X42:X49)</f>
        <v>9075</v>
      </c>
      <c r="AE50" s="4"/>
      <c r="AF50" s="4"/>
      <c r="AG50" s="4"/>
      <c r="AH50" s="4"/>
      <c r="AJ50" s="4"/>
      <c r="AK50" s="4"/>
    </row>
    <row r="51" spans="2:37" x14ac:dyDescent="0.25">
      <c r="B51" s="7"/>
      <c r="C51" s="12"/>
      <c r="D51" s="12"/>
      <c r="E51" s="12"/>
      <c r="F51" s="12"/>
      <c r="G51" s="9"/>
      <c r="H51" s="9"/>
      <c r="I51" s="9"/>
      <c r="J51" s="12"/>
      <c r="K51" s="14"/>
      <c r="N51" s="46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4"/>
      <c r="AE51" s="4"/>
      <c r="AF51" s="4"/>
      <c r="AG51" s="4"/>
      <c r="AH51" s="4"/>
      <c r="AJ51" s="4"/>
      <c r="AK51" s="4"/>
    </row>
    <row r="52" spans="2:37" x14ac:dyDescent="0.25">
      <c r="B52" s="37" t="s">
        <v>91</v>
      </c>
      <c r="C52" s="44">
        <v>0.75</v>
      </c>
      <c r="D52" s="12"/>
      <c r="E52" s="12"/>
      <c r="F52" s="12"/>
      <c r="G52" s="9"/>
      <c r="H52" s="9"/>
      <c r="I52" s="9"/>
      <c r="J52" s="12"/>
      <c r="K52" s="14"/>
      <c r="N52" s="37" t="s">
        <v>91</v>
      </c>
      <c r="O52" s="51">
        <v>0.25</v>
      </c>
      <c r="P52" s="12"/>
      <c r="Q52" s="12"/>
      <c r="R52" s="12"/>
      <c r="S52" s="12"/>
      <c r="T52" s="12"/>
      <c r="U52" s="12"/>
      <c r="V52" s="12"/>
      <c r="W52" s="12"/>
      <c r="X52" s="12"/>
      <c r="Y52" s="14"/>
      <c r="AD52" s="1" t="s">
        <v>24</v>
      </c>
      <c r="AE52" s="4"/>
      <c r="AF52" s="4"/>
      <c r="AG52" s="4"/>
      <c r="AH52" s="4"/>
      <c r="AJ52" s="4"/>
      <c r="AK52" s="4"/>
    </row>
    <row r="53" spans="2:37" x14ac:dyDescent="0.25">
      <c r="B53" s="7" t="str">
        <f t="shared" ref="B53:B62" si="9">B120</f>
        <v>Admin Salaries</v>
      </c>
      <c r="C53" s="69">
        <f>C120*$C$52</f>
        <v>2074.5</v>
      </c>
      <c r="D53" s="69"/>
      <c r="E53" s="69">
        <f>E120*$C$52</f>
        <v>2301</v>
      </c>
      <c r="F53" s="12"/>
      <c r="G53" s="9"/>
      <c r="H53" s="9"/>
      <c r="I53" s="9"/>
      <c r="J53" s="69">
        <f>I120*$C$52</f>
        <v>2625</v>
      </c>
      <c r="K53" s="14"/>
      <c r="N53" s="7" t="s">
        <v>32</v>
      </c>
      <c r="O53" s="12"/>
      <c r="P53" s="69">
        <f>C120*$O$52</f>
        <v>691.5</v>
      </c>
      <c r="Q53" s="69"/>
      <c r="R53" s="69">
        <f>E120*$O$52</f>
        <v>767</v>
      </c>
      <c r="S53" s="69"/>
      <c r="T53" s="69"/>
      <c r="U53" s="69"/>
      <c r="V53" s="69"/>
      <c r="W53" s="69"/>
      <c r="X53" s="69">
        <f>I120*$O$52</f>
        <v>875</v>
      </c>
      <c r="Y53" s="14"/>
      <c r="AD53" t="s">
        <v>28</v>
      </c>
      <c r="AE53" s="4">
        <f>AE41+AE31</f>
        <v>57323.4</v>
      </c>
      <c r="AF53" s="4"/>
      <c r="AG53" s="4">
        <f>AG41+AG31</f>
        <v>61634</v>
      </c>
      <c r="AH53" s="4"/>
      <c r="AJ53" s="4">
        <f>AJ41+AJ31</f>
        <v>56500</v>
      </c>
      <c r="AK53" s="4"/>
    </row>
    <row r="54" spans="2:37" x14ac:dyDescent="0.25">
      <c r="B54" s="7" t="str">
        <f t="shared" si="9"/>
        <v>Cleaning Salaries</v>
      </c>
      <c r="C54" s="69">
        <f t="shared" ref="C54:C62" si="10">C121*$C$52</f>
        <v>2883.75</v>
      </c>
      <c r="D54" s="69"/>
      <c r="E54" s="69">
        <f t="shared" ref="E54:E62" si="11">E121*$C$52</f>
        <v>1412.25</v>
      </c>
      <c r="F54" s="12"/>
      <c r="G54" s="9"/>
      <c r="H54" s="9"/>
      <c r="I54" s="9"/>
      <c r="J54" s="69">
        <f t="shared" ref="J54:J62" si="12">I121*$C$52</f>
        <v>2625</v>
      </c>
      <c r="K54" s="14"/>
      <c r="N54" s="7" t="s">
        <v>33</v>
      </c>
      <c r="O54" s="12"/>
      <c r="P54" s="69">
        <f t="shared" ref="P54:P62" si="13">C121*$O$52</f>
        <v>961.25</v>
      </c>
      <c r="Q54" s="69"/>
      <c r="R54" s="69">
        <f t="shared" ref="R54:R62" si="14">E121*$O$52</f>
        <v>470.75</v>
      </c>
      <c r="S54" s="69"/>
      <c r="T54" s="69"/>
      <c r="U54" s="69"/>
      <c r="V54" s="69"/>
      <c r="W54" s="69"/>
      <c r="X54" s="69">
        <f t="shared" ref="X54:X62" si="15">I121*$O$52</f>
        <v>875</v>
      </c>
      <c r="Y54" s="14"/>
      <c r="AD54" t="s">
        <v>29</v>
      </c>
      <c r="AE54" s="4">
        <f>AE42+AE32</f>
        <v>0</v>
      </c>
      <c r="AF54" s="4"/>
      <c r="AG54" s="4">
        <f>AG42+AG32</f>
        <v>10988</v>
      </c>
      <c r="AH54" s="4"/>
      <c r="AJ54" s="4">
        <f>AJ42+AJ32</f>
        <v>0</v>
      </c>
      <c r="AK54" s="4"/>
    </row>
    <row r="55" spans="2:37" x14ac:dyDescent="0.25">
      <c r="B55" s="7" t="str">
        <f t="shared" si="9"/>
        <v>Pavilion Cleaning supplies</v>
      </c>
      <c r="C55" s="69">
        <f t="shared" si="10"/>
        <v>3142.5</v>
      </c>
      <c r="D55" s="69"/>
      <c r="E55" s="69">
        <f t="shared" si="11"/>
        <v>2556.75</v>
      </c>
      <c r="F55" s="12"/>
      <c r="G55" s="9"/>
      <c r="H55" s="9"/>
      <c r="I55" s="9"/>
      <c r="J55" s="69">
        <f t="shared" si="12"/>
        <v>3000</v>
      </c>
      <c r="K55" s="14"/>
      <c r="N55" s="7" t="s">
        <v>39</v>
      </c>
      <c r="O55" s="12"/>
      <c r="P55" s="69">
        <f t="shared" si="13"/>
        <v>1047.5</v>
      </c>
      <c r="Q55" s="69"/>
      <c r="R55" s="69">
        <f t="shared" si="14"/>
        <v>852.25</v>
      </c>
      <c r="S55" s="69"/>
      <c r="T55" s="69"/>
      <c r="U55" s="69"/>
      <c r="V55" s="69"/>
      <c r="W55" s="69"/>
      <c r="X55" s="69">
        <f t="shared" si="15"/>
        <v>1000</v>
      </c>
      <c r="Y55" s="14"/>
      <c r="AD55" s="1" t="s">
        <v>20</v>
      </c>
      <c r="AE55" s="4">
        <v>46735</v>
      </c>
      <c r="AF55" s="4"/>
      <c r="AG55" s="4">
        <v>50183</v>
      </c>
      <c r="AH55" s="4"/>
      <c r="AJ55" s="4">
        <f>AJ43+AJ33</f>
        <v>47500</v>
      </c>
      <c r="AK55" s="4"/>
    </row>
    <row r="56" spans="2:37" x14ac:dyDescent="0.25">
      <c r="B56" s="7" t="str">
        <f t="shared" si="9"/>
        <v>Health &amp; Safety</v>
      </c>
      <c r="C56" s="69">
        <f t="shared" si="10"/>
        <v>883.5</v>
      </c>
      <c r="D56" s="69"/>
      <c r="E56" s="69">
        <f t="shared" si="11"/>
        <v>897</v>
      </c>
      <c r="F56" s="12"/>
      <c r="G56" s="9"/>
      <c r="H56" s="9"/>
      <c r="I56" s="9"/>
      <c r="J56" s="69">
        <f t="shared" si="12"/>
        <v>900</v>
      </c>
      <c r="K56" s="14"/>
      <c r="N56" s="7" t="s">
        <v>48</v>
      </c>
      <c r="O56" s="12"/>
      <c r="P56" s="69">
        <f t="shared" si="13"/>
        <v>294.5</v>
      </c>
      <c r="Q56" s="69"/>
      <c r="R56" s="69">
        <f t="shared" si="14"/>
        <v>299</v>
      </c>
      <c r="S56" s="69"/>
      <c r="T56" s="69"/>
      <c r="U56" s="69"/>
      <c r="V56" s="69"/>
      <c r="W56" s="69"/>
      <c r="X56" s="69">
        <f t="shared" si="15"/>
        <v>300</v>
      </c>
      <c r="Y56" s="14"/>
      <c r="AD56" s="1"/>
      <c r="AE56" s="4"/>
      <c r="AF56" s="4">
        <f>SUM(AE53:AE55)</f>
        <v>104058.4</v>
      </c>
      <c r="AG56" s="4"/>
      <c r="AH56" s="4">
        <f>SUM(AG53:AG55)</f>
        <v>122805</v>
      </c>
      <c r="AJ56" s="4"/>
      <c r="AK56" s="4">
        <f>SUM(AJ53:AJ55)</f>
        <v>104000</v>
      </c>
    </row>
    <row r="57" spans="2:37" x14ac:dyDescent="0.25">
      <c r="B57" s="7" t="str">
        <f t="shared" si="9"/>
        <v>Uniforms</v>
      </c>
      <c r="C57" s="69">
        <f t="shared" si="10"/>
        <v>261</v>
      </c>
      <c r="D57" s="69"/>
      <c r="E57" s="69">
        <f t="shared" si="11"/>
        <v>0</v>
      </c>
      <c r="F57" s="12"/>
      <c r="G57" s="9"/>
      <c r="H57" s="9"/>
      <c r="I57" s="9"/>
      <c r="J57" s="69">
        <f t="shared" si="12"/>
        <v>375</v>
      </c>
      <c r="K57" s="14"/>
      <c r="N57" s="7" t="s">
        <v>9</v>
      </c>
      <c r="O57" s="12"/>
      <c r="P57" s="69">
        <f t="shared" si="13"/>
        <v>87</v>
      </c>
      <c r="Q57" s="69"/>
      <c r="R57" s="69">
        <f t="shared" si="14"/>
        <v>0</v>
      </c>
      <c r="S57" s="69"/>
      <c r="T57" s="69"/>
      <c r="U57" s="69"/>
      <c r="V57" s="69"/>
      <c r="W57" s="69"/>
      <c r="X57" s="69">
        <f t="shared" si="15"/>
        <v>125</v>
      </c>
      <c r="Y57" s="14"/>
      <c r="AD57" s="4"/>
      <c r="AF57" s="4"/>
      <c r="AG57" s="4"/>
      <c r="AH57" s="4"/>
      <c r="AJ57" s="4"/>
      <c r="AK57" s="4"/>
    </row>
    <row r="58" spans="2:37" x14ac:dyDescent="0.25">
      <c r="B58" s="7" t="str">
        <f t="shared" si="9"/>
        <v>Pavilion Licences</v>
      </c>
      <c r="C58" s="69">
        <f t="shared" si="10"/>
        <v>692.25</v>
      </c>
      <c r="D58" s="69"/>
      <c r="E58" s="69">
        <f t="shared" si="11"/>
        <v>403.5</v>
      </c>
      <c r="F58" s="12"/>
      <c r="G58" s="9"/>
      <c r="H58" s="9"/>
      <c r="I58" s="9"/>
      <c r="J58" s="69">
        <v>750</v>
      </c>
      <c r="K58" s="14"/>
      <c r="N58" s="7" t="s">
        <v>44</v>
      </c>
      <c r="O58" s="12"/>
      <c r="P58" s="69">
        <f t="shared" si="13"/>
        <v>230.75</v>
      </c>
      <c r="Q58" s="69"/>
      <c r="R58" s="69">
        <f t="shared" si="14"/>
        <v>134.5</v>
      </c>
      <c r="S58" s="69"/>
      <c r="T58" s="69"/>
      <c r="U58" s="69"/>
      <c r="V58" s="69"/>
      <c r="W58" s="69"/>
      <c r="X58" s="69">
        <f t="shared" si="15"/>
        <v>375</v>
      </c>
      <c r="Y58" s="14"/>
      <c r="AE58" s="4"/>
      <c r="AF58" s="4"/>
      <c r="AG58" s="4"/>
      <c r="AH58" s="4"/>
      <c r="AJ58" s="4"/>
      <c r="AK58" s="4"/>
    </row>
    <row r="59" spans="2:37" x14ac:dyDescent="0.25">
      <c r="B59" s="7" t="str">
        <f t="shared" si="9"/>
        <v>Sky, BT, TV</v>
      </c>
      <c r="C59" s="69">
        <f t="shared" si="10"/>
        <v>2625</v>
      </c>
      <c r="D59" s="69"/>
      <c r="E59" s="69">
        <f t="shared" si="11"/>
        <v>3436.5</v>
      </c>
      <c r="F59" s="12"/>
      <c r="G59" s="9"/>
      <c r="H59" s="9"/>
      <c r="I59" s="9"/>
      <c r="J59" s="69">
        <f t="shared" si="12"/>
        <v>3750</v>
      </c>
      <c r="K59" s="14"/>
      <c r="N59" s="7" t="s">
        <v>13</v>
      </c>
      <c r="O59" s="12"/>
      <c r="P59" s="69">
        <f t="shared" si="13"/>
        <v>875</v>
      </c>
      <c r="Q59" s="69"/>
      <c r="R59" s="69">
        <f t="shared" si="14"/>
        <v>1145.5</v>
      </c>
      <c r="S59" s="69"/>
      <c r="T59" s="69"/>
      <c r="U59" s="69"/>
      <c r="V59" s="69"/>
      <c r="W59" s="69"/>
      <c r="X59" s="69">
        <f t="shared" si="15"/>
        <v>1250</v>
      </c>
      <c r="Y59" s="14"/>
      <c r="AE59" s="4"/>
      <c r="AF59" s="4"/>
      <c r="AG59" s="4"/>
      <c r="AH59" s="4"/>
      <c r="AJ59" s="4"/>
      <c r="AK59" s="4"/>
    </row>
    <row r="60" spans="2:37" x14ac:dyDescent="0.25">
      <c r="B60" s="7" t="str">
        <f t="shared" si="9"/>
        <v>Amey</v>
      </c>
      <c r="C60" s="69">
        <f t="shared" si="10"/>
        <v>384</v>
      </c>
      <c r="D60" s="69"/>
      <c r="E60" s="69">
        <f t="shared" si="11"/>
        <v>0</v>
      </c>
      <c r="F60" s="12"/>
      <c r="G60" s="9"/>
      <c r="H60" s="9"/>
      <c r="I60" s="9"/>
      <c r="J60" s="69">
        <f t="shared" si="12"/>
        <v>0</v>
      </c>
      <c r="K60" s="14"/>
      <c r="N60" s="7" t="s">
        <v>14</v>
      </c>
      <c r="O60" s="12"/>
      <c r="P60" s="69">
        <f t="shared" si="13"/>
        <v>128</v>
      </c>
      <c r="Q60" s="69"/>
      <c r="R60" s="69">
        <f t="shared" si="14"/>
        <v>0</v>
      </c>
      <c r="S60" s="69"/>
      <c r="T60" s="69"/>
      <c r="U60" s="69"/>
      <c r="V60" s="69"/>
      <c r="W60" s="69"/>
      <c r="X60" s="69">
        <f t="shared" si="15"/>
        <v>0</v>
      </c>
      <c r="Y60" s="14"/>
      <c r="AD60" s="1" t="s">
        <v>25</v>
      </c>
      <c r="AE60" s="4"/>
      <c r="AF60" s="4">
        <f>AF49-AF56</f>
        <v>-1359.5999999999913</v>
      </c>
      <c r="AG60" s="4"/>
      <c r="AH60" s="4">
        <f>AH49-AH56</f>
        <v>-17506</v>
      </c>
      <c r="AJ60" s="4"/>
      <c r="AK60" s="4">
        <f>AK49-AK56</f>
        <v>4000</v>
      </c>
    </row>
    <row r="61" spans="2:37" x14ac:dyDescent="0.25">
      <c r="B61" s="7" t="str">
        <f t="shared" si="9"/>
        <v>Pavilion Equipment</v>
      </c>
      <c r="C61" s="69">
        <f t="shared" si="10"/>
        <v>16514.25</v>
      </c>
      <c r="D61" s="69"/>
      <c r="E61" s="69">
        <f t="shared" si="11"/>
        <v>1931.25</v>
      </c>
      <c r="F61" s="12"/>
      <c r="G61" s="9"/>
      <c r="H61" s="9"/>
      <c r="I61" s="9"/>
      <c r="J61" s="69">
        <f t="shared" si="12"/>
        <v>3750</v>
      </c>
      <c r="K61" s="14"/>
      <c r="N61" s="7" t="s">
        <v>66</v>
      </c>
      <c r="O61" s="12"/>
      <c r="P61" s="69">
        <f t="shared" si="13"/>
        <v>5504.75</v>
      </c>
      <c r="Q61" s="69"/>
      <c r="R61" s="69">
        <f t="shared" si="14"/>
        <v>643.75</v>
      </c>
      <c r="S61" s="69"/>
      <c r="T61" s="69"/>
      <c r="U61" s="69"/>
      <c r="V61" s="69"/>
      <c r="W61" s="69"/>
      <c r="X61" s="69">
        <f t="shared" si="15"/>
        <v>1250</v>
      </c>
      <c r="Y61" s="14"/>
      <c r="AH61" s="4"/>
    </row>
    <row r="62" spans="2:37" x14ac:dyDescent="0.25">
      <c r="B62" s="7" t="str">
        <f t="shared" si="9"/>
        <v>Pavilion Maintenance</v>
      </c>
      <c r="C62" s="69">
        <f t="shared" si="10"/>
        <v>0</v>
      </c>
      <c r="D62" s="69"/>
      <c r="E62" s="69">
        <f t="shared" si="11"/>
        <v>573</v>
      </c>
      <c r="F62" s="12"/>
      <c r="G62" s="9"/>
      <c r="H62" s="9"/>
      <c r="I62" s="9"/>
      <c r="J62" s="69">
        <f t="shared" si="12"/>
        <v>750</v>
      </c>
      <c r="K62" s="14"/>
      <c r="N62" s="7" t="s">
        <v>67</v>
      </c>
      <c r="O62" s="12"/>
      <c r="P62" s="69">
        <f t="shared" si="13"/>
        <v>0</v>
      </c>
      <c r="Q62" s="69"/>
      <c r="R62" s="69">
        <f t="shared" si="14"/>
        <v>191</v>
      </c>
      <c r="S62" s="69"/>
      <c r="T62" s="69"/>
      <c r="U62" s="69"/>
      <c r="V62" s="69"/>
      <c r="W62" s="69"/>
      <c r="X62" s="69">
        <f t="shared" si="15"/>
        <v>250</v>
      </c>
      <c r="Y62" s="14"/>
      <c r="AE62" s="4"/>
      <c r="AF62" s="4"/>
      <c r="AG62" s="4"/>
      <c r="AH62" s="4"/>
    </row>
    <row r="63" spans="2:37" x14ac:dyDescent="0.25">
      <c r="B63" s="7"/>
      <c r="C63" s="12"/>
      <c r="D63" s="12">
        <f>SUM(C53:C62)</f>
        <v>29460.75</v>
      </c>
      <c r="E63" s="12"/>
      <c r="F63" s="12">
        <f>SUM(E53:E62)</f>
        <v>13511.25</v>
      </c>
      <c r="G63" s="9"/>
      <c r="H63" s="9"/>
      <c r="I63" s="9"/>
      <c r="J63" s="12"/>
      <c r="K63" s="14">
        <f>SUM(J53:J62)</f>
        <v>18525</v>
      </c>
      <c r="N63" s="46"/>
      <c r="O63" s="12"/>
      <c r="P63" s="12"/>
      <c r="Q63" s="12">
        <f>SUM(P53:P62)</f>
        <v>9820.25</v>
      </c>
      <c r="R63" s="12"/>
      <c r="S63" s="12">
        <f>SUM(R53:R62)</f>
        <v>4503.75</v>
      </c>
      <c r="T63" s="12"/>
      <c r="U63" s="12"/>
      <c r="V63" s="12"/>
      <c r="W63" s="12"/>
      <c r="X63" s="12"/>
      <c r="Y63" s="14">
        <f>SUM(X53:X62)</f>
        <v>6300</v>
      </c>
      <c r="AE63" s="4"/>
      <c r="AF63" s="4"/>
      <c r="AG63" s="4"/>
      <c r="AH63" s="4"/>
    </row>
    <row r="64" spans="2:37" x14ac:dyDescent="0.25">
      <c r="B64" s="7"/>
      <c r="C64" s="12"/>
      <c r="D64" s="12"/>
      <c r="E64" s="12"/>
      <c r="F64" s="12"/>
      <c r="G64" s="9"/>
      <c r="H64" s="9"/>
      <c r="I64" s="9"/>
      <c r="J64" s="12"/>
      <c r="K64" s="14"/>
      <c r="N64" s="4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4"/>
      <c r="AE64" s="4"/>
      <c r="AF64" s="4"/>
      <c r="AG64" s="4"/>
      <c r="AH64" s="4"/>
    </row>
    <row r="65" spans="2:34" x14ac:dyDescent="0.25">
      <c r="B65" s="7" t="s">
        <v>63</v>
      </c>
      <c r="C65" s="12">
        <v>3973</v>
      </c>
      <c r="D65" s="12"/>
      <c r="E65" s="12">
        <v>8320</v>
      </c>
      <c r="F65" s="12"/>
      <c r="G65" s="9"/>
      <c r="H65" s="9"/>
      <c r="I65" s="9"/>
      <c r="J65" s="9"/>
      <c r="K65" s="39"/>
      <c r="N65" s="4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4"/>
      <c r="AH65" s="4"/>
    </row>
    <row r="66" spans="2:34" x14ac:dyDescent="0.25">
      <c r="B66" s="7"/>
      <c r="C66" s="12"/>
      <c r="D66" s="12">
        <f>C65</f>
        <v>3973</v>
      </c>
      <c r="E66" s="12"/>
      <c r="F66" s="12">
        <f>E65</f>
        <v>8320</v>
      </c>
      <c r="G66" s="9"/>
      <c r="H66" s="9"/>
      <c r="I66" s="9"/>
      <c r="J66" s="9"/>
      <c r="K66" s="39"/>
      <c r="N66" s="7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4"/>
      <c r="AH66" s="4"/>
    </row>
    <row r="67" spans="2:34" x14ac:dyDescent="0.25">
      <c r="B67" s="7"/>
      <c r="C67" s="12"/>
      <c r="D67" s="12"/>
      <c r="E67" s="12"/>
      <c r="F67" s="12"/>
      <c r="G67" s="9"/>
      <c r="H67" s="9"/>
      <c r="I67" s="9"/>
      <c r="J67" s="9"/>
      <c r="K67" s="39"/>
      <c r="N67" s="7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4"/>
      <c r="AH67" s="4"/>
    </row>
    <row r="68" spans="2:34" x14ac:dyDescent="0.25">
      <c r="B68" s="37" t="s">
        <v>73</v>
      </c>
      <c r="C68" s="12"/>
      <c r="D68" s="12"/>
      <c r="E68" s="12"/>
      <c r="F68" s="12"/>
      <c r="G68" s="9"/>
      <c r="H68" s="9"/>
      <c r="I68" s="9"/>
      <c r="J68" s="9"/>
      <c r="K68" s="39"/>
      <c r="N68" s="7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4"/>
      <c r="AH68" s="4"/>
    </row>
    <row r="69" spans="2:34" x14ac:dyDescent="0.25">
      <c r="B69" s="7" t="s">
        <v>74</v>
      </c>
      <c r="C69" s="12"/>
      <c r="D69" s="12"/>
      <c r="E69" s="12"/>
      <c r="F69" s="12"/>
      <c r="G69" s="12">
        <f>700</f>
        <v>700</v>
      </c>
      <c r="H69" s="12"/>
      <c r="I69" s="12"/>
      <c r="J69" s="12">
        <f>G69</f>
        <v>700</v>
      </c>
      <c r="K69" s="14"/>
      <c r="N69" s="7" t="s">
        <v>45</v>
      </c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4">
        <v>1800</v>
      </c>
      <c r="AH69" s="4"/>
    </row>
    <row r="70" spans="2:34" x14ac:dyDescent="0.25">
      <c r="B70" s="7" t="s">
        <v>47</v>
      </c>
      <c r="C70" s="12"/>
      <c r="D70" s="12"/>
      <c r="E70" s="12"/>
      <c r="F70" s="12"/>
      <c r="G70" s="12">
        <v>300</v>
      </c>
      <c r="H70" s="12"/>
      <c r="I70" s="12"/>
      <c r="J70" s="12">
        <f>G70</f>
        <v>300</v>
      </c>
      <c r="K70" s="14"/>
      <c r="N70" s="7" t="s">
        <v>46</v>
      </c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4">
        <v>500</v>
      </c>
      <c r="AH70" s="4"/>
    </row>
    <row r="71" spans="2:34" x14ac:dyDescent="0.25">
      <c r="B71" s="7" t="s">
        <v>96</v>
      </c>
      <c r="C71" s="9"/>
      <c r="D71" s="9"/>
      <c r="E71" s="9"/>
      <c r="F71" s="9"/>
      <c r="G71" s="12"/>
      <c r="H71" s="12"/>
      <c r="I71" s="12"/>
      <c r="J71" s="12">
        <v>3000</v>
      </c>
      <c r="K71" s="14"/>
      <c r="N71" s="7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4"/>
      <c r="AH71" s="4"/>
    </row>
    <row r="72" spans="2:34" x14ac:dyDescent="0.25">
      <c r="B72" s="7" t="s">
        <v>97</v>
      </c>
      <c r="C72" s="12"/>
      <c r="D72" s="12"/>
      <c r="E72" s="12"/>
      <c r="F72" s="12"/>
      <c r="G72" s="12"/>
      <c r="H72" s="12"/>
      <c r="I72" s="12"/>
      <c r="J72" s="12">
        <v>2000</v>
      </c>
      <c r="K72" s="14"/>
      <c r="N72" s="7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4"/>
      <c r="AH72" s="4"/>
    </row>
    <row r="73" spans="2:34" x14ac:dyDescent="0.25">
      <c r="B73" s="7"/>
      <c r="C73" s="12"/>
      <c r="D73" s="12"/>
      <c r="E73" s="12"/>
      <c r="F73" s="12"/>
      <c r="G73" s="12"/>
      <c r="H73" s="12"/>
      <c r="I73" s="12"/>
      <c r="J73" s="12"/>
      <c r="K73" s="14">
        <f>SUM(J69:J72)</f>
        <v>6000</v>
      </c>
      <c r="N73" s="7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4"/>
      <c r="AH73" s="4"/>
    </row>
    <row r="74" spans="2:34" x14ac:dyDescent="0.25">
      <c r="B74" s="7"/>
      <c r="C74" s="12"/>
      <c r="D74" s="12"/>
      <c r="E74" s="12"/>
      <c r="F74" s="12"/>
      <c r="G74" s="9"/>
      <c r="H74" s="9"/>
      <c r="I74" s="9"/>
      <c r="J74" s="9"/>
      <c r="K74" s="39"/>
      <c r="N74" s="7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4"/>
      <c r="AH74" s="4"/>
    </row>
    <row r="75" spans="2:34" x14ac:dyDescent="0.25">
      <c r="B75" s="37" t="s">
        <v>55</v>
      </c>
      <c r="C75" s="12"/>
      <c r="D75" s="6">
        <f>SUM(D27:D74)</f>
        <v>78756.5</v>
      </c>
      <c r="E75" s="6"/>
      <c r="F75" s="6">
        <f>SUM(F27:F74)</f>
        <v>71409.25</v>
      </c>
      <c r="G75" s="9"/>
      <c r="H75" s="9"/>
      <c r="I75" s="9"/>
      <c r="J75" s="12"/>
      <c r="K75" s="16">
        <f>SUM(K38:K73)</f>
        <v>93350</v>
      </c>
      <c r="L75" s="4"/>
      <c r="N75" s="37" t="s">
        <v>55</v>
      </c>
      <c r="O75" s="8"/>
      <c r="P75" s="12"/>
      <c r="Q75" s="6">
        <f>SUM(Q38:Q73)</f>
        <v>12757.5</v>
      </c>
      <c r="R75" s="6"/>
      <c r="S75" s="6">
        <f>SUM(S38:S73)</f>
        <v>8325.75</v>
      </c>
      <c r="T75" s="11"/>
      <c r="U75" s="11"/>
      <c r="V75" s="11"/>
      <c r="W75" s="11"/>
      <c r="X75" s="11"/>
      <c r="Y75" s="16">
        <f>SUM(Y28:Y74)</f>
        <v>19675</v>
      </c>
      <c r="Z75" s="11"/>
      <c r="AA75" s="11"/>
      <c r="AB75" s="11"/>
      <c r="AH75" s="4"/>
    </row>
    <row r="76" spans="2:34" x14ac:dyDescent="0.25">
      <c r="B76" s="7"/>
      <c r="C76" s="12"/>
      <c r="D76" s="12"/>
      <c r="E76" s="12"/>
      <c r="F76" s="12"/>
      <c r="G76" s="9"/>
      <c r="H76" s="9"/>
      <c r="I76" s="9"/>
      <c r="J76" s="12"/>
      <c r="K76" s="14"/>
      <c r="L76" s="4"/>
      <c r="N76" s="7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4"/>
      <c r="AE76" s="4"/>
      <c r="AF76" s="4"/>
      <c r="AG76" s="4"/>
      <c r="AH76" s="4"/>
    </row>
    <row r="77" spans="2:34" x14ac:dyDescent="0.25">
      <c r="B77" s="7"/>
      <c r="C77" s="12"/>
      <c r="D77" s="12"/>
      <c r="E77" s="12"/>
      <c r="F77" s="12"/>
      <c r="G77" s="9"/>
      <c r="H77" s="9"/>
      <c r="I77" s="9"/>
      <c r="J77" s="9"/>
      <c r="K77" s="39"/>
      <c r="N77" s="37" t="s">
        <v>11</v>
      </c>
      <c r="O77" s="8"/>
      <c r="P77" s="12"/>
      <c r="Q77" s="12"/>
      <c r="R77" s="12"/>
      <c r="S77" s="12"/>
      <c r="T77" s="12"/>
      <c r="U77" s="12"/>
      <c r="V77" s="12"/>
      <c r="W77" s="12"/>
      <c r="X77" s="12"/>
      <c r="Y77" s="14"/>
      <c r="AE77" s="4"/>
      <c r="AF77" s="4"/>
      <c r="AG77" s="4"/>
      <c r="AH77" s="4"/>
    </row>
    <row r="78" spans="2:34" x14ac:dyDescent="0.25">
      <c r="B78" s="7"/>
      <c r="C78" s="12"/>
      <c r="D78" s="12"/>
      <c r="E78" s="12"/>
      <c r="F78" s="12"/>
      <c r="G78" s="9"/>
      <c r="H78" s="9"/>
      <c r="I78" s="9"/>
      <c r="J78" s="12"/>
      <c r="K78" s="14"/>
      <c r="L78" s="4"/>
      <c r="N78" s="7" t="s">
        <v>49</v>
      </c>
      <c r="O78" s="9"/>
      <c r="P78" s="12">
        <v>2167</v>
      </c>
      <c r="Q78" s="12"/>
      <c r="R78" s="12">
        <v>2167</v>
      </c>
      <c r="S78" s="12"/>
      <c r="T78" s="12"/>
      <c r="U78" s="12"/>
      <c r="V78" s="12"/>
      <c r="W78" s="12"/>
      <c r="X78" s="12">
        <v>0</v>
      </c>
      <c r="Y78" s="14"/>
      <c r="AE78" s="4"/>
      <c r="AF78" s="4"/>
      <c r="AG78" s="4"/>
      <c r="AH78" s="4"/>
    </row>
    <row r="79" spans="2:34" x14ac:dyDescent="0.25">
      <c r="B79" s="7"/>
      <c r="C79" s="12"/>
      <c r="D79" s="12"/>
      <c r="E79" s="12"/>
      <c r="F79" s="12"/>
      <c r="G79" s="9"/>
      <c r="H79" s="9"/>
      <c r="I79" s="9"/>
      <c r="J79" s="9"/>
      <c r="K79" s="39"/>
      <c r="N79" s="7" t="s">
        <v>50</v>
      </c>
      <c r="O79" s="9"/>
      <c r="P79" s="12"/>
      <c r="Q79" s="12"/>
      <c r="R79" s="12">
        <v>237</v>
      </c>
      <c r="S79" s="12"/>
      <c r="T79" s="12"/>
      <c r="U79" s="12"/>
      <c r="V79" s="12"/>
      <c r="W79" s="12"/>
      <c r="X79" s="12">
        <f>59*12</f>
        <v>708</v>
      </c>
      <c r="Y79" s="14"/>
      <c r="AE79" s="4"/>
      <c r="AF79" s="4"/>
      <c r="AG79" s="4"/>
      <c r="AH79" s="4"/>
    </row>
    <row r="80" spans="2:34" x14ac:dyDescent="0.25">
      <c r="B80" s="7"/>
      <c r="C80" s="12"/>
      <c r="D80" s="12"/>
      <c r="E80" s="12"/>
      <c r="F80" s="12"/>
      <c r="G80" s="9"/>
      <c r="H80" s="9"/>
      <c r="I80" s="9"/>
      <c r="J80" s="9"/>
      <c r="K80" s="39"/>
      <c r="N80" s="7"/>
      <c r="O80" s="9"/>
      <c r="P80" s="12"/>
      <c r="Q80" s="12">
        <f>SUM(P78:P79)</f>
        <v>2167</v>
      </c>
      <c r="R80" s="12"/>
      <c r="S80" s="12">
        <f>SUM(R78:R79)</f>
        <v>2404</v>
      </c>
      <c r="T80" s="12"/>
      <c r="U80" s="12"/>
      <c r="V80" s="12"/>
      <c r="W80" s="12"/>
      <c r="X80" s="12"/>
      <c r="Y80" s="14">
        <f>SUM(X78:X79)</f>
        <v>708</v>
      </c>
      <c r="AE80" s="4"/>
      <c r="AF80" s="4"/>
      <c r="AG80" s="4"/>
      <c r="AH80" s="4"/>
    </row>
    <row r="81" spans="2:34" x14ac:dyDescent="0.25">
      <c r="B81" s="7"/>
      <c r="C81" s="12"/>
      <c r="D81" s="12"/>
      <c r="E81" s="12"/>
      <c r="F81" s="12"/>
      <c r="G81" s="9"/>
      <c r="H81" s="9"/>
      <c r="I81" s="9"/>
      <c r="J81" s="9"/>
      <c r="K81" s="39"/>
      <c r="N81" s="7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4"/>
      <c r="AE81" s="4"/>
      <c r="AF81" s="4"/>
      <c r="AG81" s="4"/>
      <c r="AH81" s="4"/>
    </row>
    <row r="82" spans="2:34" x14ac:dyDescent="0.25">
      <c r="B82" s="7"/>
      <c r="C82" s="12"/>
      <c r="D82" s="12"/>
      <c r="E82" s="12"/>
      <c r="F82" s="12"/>
      <c r="G82" s="9"/>
      <c r="H82" s="9"/>
      <c r="I82" s="9"/>
      <c r="J82" s="9"/>
      <c r="K82" s="39"/>
      <c r="N82" s="37" t="s">
        <v>41</v>
      </c>
      <c r="O82" s="8"/>
      <c r="P82" s="12"/>
      <c r="Q82" s="12"/>
      <c r="R82" s="12"/>
      <c r="S82" s="12"/>
      <c r="T82" s="12"/>
      <c r="U82" s="12"/>
      <c r="V82" s="12"/>
      <c r="W82" s="12"/>
      <c r="X82" s="12"/>
      <c r="Y82" s="14"/>
      <c r="AE82" s="4"/>
      <c r="AF82" s="4"/>
      <c r="AG82" s="4"/>
      <c r="AH82" s="4"/>
    </row>
    <row r="83" spans="2:34" x14ac:dyDescent="0.25">
      <c r="B83" s="7"/>
      <c r="C83" s="12"/>
      <c r="D83" s="12"/>
      <c r="E83" s="12"/>
      <c r="F83" s="12"/>
      <c r="G83" s="9"/>
      <c r="H83" s="9"/>
      <c r="I83" s="9"/>
      <c r="J83" s="9"/>
      <c r="K83" s="39"/>
      <c r="N83" s="7" t="s">
        <v>40</v>
      </c>
      <c r="O83" s="9"/>
      <c r="P83" s="12">
        <v>707.83</v>
      </c>
      <c r="Q83" s="12"/>
      <c r="R83" s="12">
        <v>1111</v>
      </c>
      <c r="S83" s="12"/>
      <c r="T83" s="12"/>
      <c r="U83" s="12"/>
      <c r="V83" s="12"/>
      <c r="W83" s="12"/>
      <c r="X83" s="12">
        <v>1000</v>
      </c>
      <c r="Y83" s="14"/>
      <c r="AE83" s="4"/>
      <c r="AF83" s="4"/>
      <c r="AG83" s="4"/>
      <c r="AH83" s="4"/>
    </row>
    <row r="84" spans="2:34" x14ac:dyDescent="0.25">
      <c r="B84" s="7"/>
      <c r="C84" s="12"/>
      <c r="D84" s="12"/>
      <c r="E84" s="12"/>
      <c r="F84" s="12"/>
      <c r="G84" s="9"/>
      <c r="H84" s="9"/>
      <c r="I84" s="9"/>
      <c r="J84" s="9"/>
      <c r="K84" s="39"/>
      <c r="N84" s="7"/>
      <c r="O84" s="9"/>
      <c r="P84" s="12"/>
      <c r="Q84" s="12">
        <f>P83</f>
        <v>707.83</v>
      </c>
      <c r="R84" s="12"/>
      <c r="S84" s="12">
        <f>R83</f>
        <v>1111</v>
      </c>
      <c r="T84" s="12"/>
      <c r="U84" s="12"/>
      <c r="V84" s="12"/>
      <c r="W84" s="12"/>
      <c r="X84" s="12"/>
      <c r="Y84" s="14">
        <f>X83</f>
        <v>1000</v>
      </c>
      <c r="AE84" s="4"/>
      <c r="AF84" s="4"/>
      <c r="AG84" s="4"/>
      <c r="AH84" s="4"/>
    </row>
    <row r="85" spans="2:34" x14ac:dyDescent="0.25">
      <c r="B85" s="7"/>
      <c r="C85" s="9"/>
      <c r="D85" s="9"/>
      <c r="E85" s="9"/>
      <c r="F85" s="9"/>
      <c r="G85" s="9"/>
      <c r="H85" s="9"/>
      <c r="I85" s="9"/>
      <c r="J85" s="9"/>
      <c r="K85" s="39"/>
      <c r="N85" s="7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4"/>
      <c r="AE85" s="4"/>
      <c r="AF85" s="4"/>
      <c r="AG85" s="4"/>
      <c r="AH85" s="4"/>
    </row>
    <row r="86" spans="2:34" x14ac:dyDescent="0.25">
      <c r="B86" s="52" t="s">
        <v>64</v>
      </c>
      <c r="C86" s="13"/>
      <c r="D86" s="17">
        <f>D25-D75</f>
        <v>45351.700000000012</v>
      </c>
      <c r="E86" s="13"/>
      <c r="F86" s="17">
        <f>F25-F75</f>
        <v>39186.75</v>
      </c>
      <c r="G86" s="10"/>
      <c r="H86" s="10"/>
      <c r="I86" s="10"/>
      <c r="J86" s="10"/>
      <c r="K86" s="15">
        <f>K25-K75</f>
        <v>-219.70000000001164</v>
      </c>
      <c r="N86" s="52" t="s">
        <v>64</v>
      </c>
      <c r="O86" s="53"/>
      <c r="P86" s="13"/>
      <c r="Q86" s="17">
        <f>Q25-Q75-Q80-Q84</f>
        <v>-16991.929999999993</v>
      </c>
      <c r="R86" s="13"/>
      <c r="S86" s="17">
        <f>S25-S75-S80-S84</f>
        <v>-15829.429999999993</v>
      </c>
      <c r="T86" s="54"/>
      <c r="U86" s="54"/>
      <c r="V86" s="54"/>
      <c r="W86" s="54"/>
      <c r="X86" s="54"/>
      <c r="Y86" s="15">
        <f>Y25-Y75-Y80-Y84</f>
        <v>333.66666666667152</v>
      </c>
    </row>
    <row r="89" spans="2:34" x14ac:dyDescent="0.25">
      <c r="N89" s="65" t="s">
        <v>65</v>
      </c>
      <c r="O89" s="63"/>
      <c r="P89" s="64"/>
      <c r="Q89" s="66" t="s">
        <v>30</v>
      </c>
      <c r="R89" s="66"/>
      <c r="S89" s="66" t="s">
        <v>31</v>
      </c>
      <c r="T89" s="66"/>
      <c r="U89" s="66"/>
      <c r="V89" s="66"/>
      <c r="W89" s="66"/>
      <c r="X89" s="66"/>
      <c r="Y89" s="67" t="s">
        <v>75</v>
      </c>
    </row>
    <row r="90" spans="2:34" x14ac:dyDescent="0.25">
      <c r="N90" s="55" t="s">
        <v>68</v>
      </c>
      <c r="O90" s="56"/>
      <c r="P90" s="57"/>
      <c r="Q90" s="57">
        <f>D25</f>
        <v>124108.20000000001</v>
      </c>
      <c r="R90" s="57"/>
      <c r="S90" s="57">
        <f>F25</f>
        <v>110596</v>
      </c>
      <c r="T90" s="57"/>
      <c r="U90" s="57"/>
      <c r="V90" s="57"/>
      <c r="W90" s="57"/>
      <c r="X90" s="57"/>
      <c r="Y90" s="58">
        <f>K25</f>
        <v>93130.299999999988</v>
      </c>
      <c r="AE90" s="4"/>
      <c r="AF90" s="4"/>
      <c r="AG90" s="4"/>
      <c r="AH90" s="4"/>
    </row>
    <row r="91" spans="2:34" x14ac:dyDescent="0.25">
      <c r="N91" s="55" t="s">
        <v>69</v>
      </c>
      <c r="O91" s="56"/>
      <c r="P91" s="57"/>
      <c r="Q91" s="57">
        <f>Q25</f>
        <v>-1359.5999999999913</v>
      </c>
      <c r="R91" s="57"/>
      <c r="S91" s="57">
        <f>S25</f>
        <v>-3988.679999999993</v>
      </c>
      <c r="T91" s="57"/>
      <c r="U91" s="57"/>
      <c r="V91" s="57"/>
      <c r="W91" s="57"/>
      <c r="X91" s="57"/>
      <c r="Y91" s="58">
        <f>Y25</f>
        <v>21716.666666666672</v>
      </c>
      <c r="AE91" s="4"/>
      <c r="AF91" s="4"/>
      <c r="AG91" s="4"/>
      <c r="AH91" s="4"/>
    </row>
    <row r="92" spans="2:34" x14ac:dyDescent="0.25">
      <c r="N92" s="55" t="s">
        <v>25</v>
      </c>
      <c r="O92" s="56"/>
      <c r="P92" s="57"/>
      <c r="Q92" s="57">
        <f>Q90+Q91</f>
        <v>122748.60000000002</v>
      </c>
      <c r="R92" s="57"/>
      <c r="S92" s="57">
        <f>S90+S91</f>
        <v>106607.32</v>
      </c>
      <c r="T92" s="57"/>
      <c r="U92" s="57"/>
      <c r="V92" s="57"/>
      <c r="W92" s="57"/>
      <c r="X92" s="57"/>
      <c r="Y92" s="58">
        <f>Y90+Y91</f>
        <v>114846.96666666666</v>
      </c>
    </row>
    <row r="93" spans="2:34" x14ac:dyDescent="0.25">
      <c r="N93" s="55"/>
      <c r="O93" s="56"/>
      <c r="P93" s="57"/>
      <c r="Q93" s="57"/>
      <c r="R93" s="57"/>
      <c r="S93" s="57"/>
      <c r="T93" s="57"/>
      <c r="U93" s="57"/>
      <c r="V93" s="57"/>
      <c r="W93" s="57"/>
      <c r="X93" s="57"/>
      <c r="Y93" s="58"/>
    </row>
    <row r="94" spans="2:34" x14ac:dyDescent="0.25">
      <c r="N94" s="55" t="s">
        <v>70</v>
      </c>
      <c r="O94" s="56"/>
      <c r="P94" s="57"/>
      <c r="Q94" s="57">
        <f>D75</f>
        <v>78756.5</v>
      </c>
      <c r="R94" s="57"/>
      <c r="S94" s="57">
        <f>F75</f>
        <v>71409.25</v>
      </c>
      <c r="T94" s="57"/>
      <c r="U94" s="57"/>
      <c r="V94" s="57"/>
      <c r="W94" s="57"/>
      <c r="X94" s="57"/>
      <c r="Y94" s="58">
        <f>K75</f>
        <v>93350</v>
      </c>
    </row>
    <row r="95" spans="2:34" x14ac:dyDescent="0.25">
      <c r="N95" s="55" t="s">
        <v>71</v>
      </c>
      <c r="O95" s="56"/>
      <c r="P95" s="57"/>
      <c r="Q95" s="57">
        <f>Q75</f>
        <v>12757.5</v>
      </c>
      <c r="R95" s="57"/>
      <c r="S95" s="57">
        <f>S75</f>
        <v>8325.75</v>
      </c>
      <c r="T95" s="57"/>
      <c r="U95" s="57"/>
      <c r="V95" s="57"/>
      <c r="W95" s="57"/>
      <c r="X95" s="57"/>
      <c r="Y95" s="58">
        <f>Y75</f>
        <v>19675</v>
      </c>
    </row>
    <row r="96" spans="2:34" x14ac:dyDescent="0.25">
      <c r="N96" s="55"/>
      <c r="O96" s="56"/>
      <c r="P96" s="57"/>
      <c r="Q96" s="57">
        <f>SUM(Q94:Q95)</f>
        <v>91514</v>
      </c>
      <c r="R96" s="57"/>
      <c r="S96" s="57">
        <f>SUM(S94:S95)</f>
        <v>79735</v>
      </c>
      <c r="T96" s="57"/>
      <c r="U96" s="57"/>
      <c r="V96" s="57"/>
      <c r="W96" s="57"/>
      <c r="X96" s="57"/>
      <c r="Y96" s="58">
        <f>SUM(Y94:Y95)</f>
        <v>113025</v>
      </c>
    </row>
    <row r="97" spans="2:25" x14ac:dyDescent="0.25">
      <c r="N97" s="55"/>
      <c r="O97" s="56"/>
      <c r="P97" s="57"/>
      <c r="Q97" s="57">
        <f>Q80+Q84</f>
        <v>2874.83</v>
      </c>
      <c r="R97" s="57"/>
      <c r="S97" s="57">
        <f>S80+S84</f>
        <v>3515</v>
      </c>
      <c r="T97" s="57"/>
      <c r="U97" s="57"/>
      <c r="V97" s="57"/>
      <c r="W97" s="57"/>
      <c r="X97" s="57"/>
      <c r="Y97" s="58">
        <f>Y80+Y84</f>
        <v>1708</v>
      </c>
    </row>
    <row r="98" spans="2:25" x14ac:dyDescent="0.25">
      <c r="N98" s="55" t="s">
        <v>72</v>
      </c>
      <c r="O98" s="56"/>
      <c r="P98" s="57"/>
      <c r="Q98" s="57">
        <v>2</v>
      </c>
      <c r="R98" s="57"/>
      <c r="S98" s="57">
        <v>1</v>
      </c>
      <c r="T98" s="57"/>
      <c r="U98" s="57"/>
      <c r="V98" s="57"/>
      <c r="W98" s="57"/>
      <c r="X98" s="57"/>
      <c r="Y98" s="58"/>
    </row>
    <row r="99" spans="2:25" x14ac:dyDescent="0.25">
      <c r="N99" s="59" t="s">
        <v>64</v>
      </c>
      <c r="O99" s="60" t="s">
        <v>92</v>
      </c>
      <c r="P99" s="60"/>
      <c r="Q99" s="61">
        <f>Q92-Q96-Q97+Q98</f>
        <v>28361.770000000019</v>
      </c>
      <c r="R99" s="61"/>
      <c r="S99" s="61">
        <f>S92-S96-S97+S98</f>
        <v>23358.320000000007</v>
      </c>
      <c r="T99" s="61"/>
      <c r="U99" s="61"/>
      <c r="V99" s="61"/>
      <c r="W99" s="61"/>
      <c r="X99" s="61"/>
      <c r="Y99" s="62">
        <f>Y92-Y96-Y97+Y98</f>
        <v>113.96666666665988</v>
      </c>
    </row>
    <row r="101" spans="2:25" x14ac:dyDescent="0.25">
      <c r="N101" t="s">
        <v>110</v>
      </c>
      <c r="Y101" s="4">
        <f>-J7</f>
        <v>-11375</v>
      </c>
    </row>
    <row r="102" spans="2:25" x14ac:dyDescent="0.25">
      <c r="N102" s="72" t="s">
        <v>12</v>
      </c>
      <c r="Y102" s="4">
        <f>-I104</f>
        <v>-20000</v>
      </c>
    </row>
    <row r="103" spans="2:25" x14ac:dyDescent="0.25">
      <c r="B103" s="21" t="s">
        <v>53</v>
      </c>
      <c r="C103" s="22"/>
      <c r="D103" s="22"/>
      <c r="E103" s="22"/>
      <c r="F103" s="23"/>
      <c r="G103" s="23"/>
      <c r="H103" s="23"/>
      <c r="I103" s="33" t="s">
        <v>84</v>
      </c>
      <c r="J103" s="24"/>
      <c r="N103" s="72" t="s">
        <v>111</v>
      </c>
      <c r="Y103" s="4">
        <v>5000</v>
      </c>
    </row>
    <row r="104" spans="2:25" x14ac:dyDescent="0.25">
      <c r="B104" s="25" t="s">
        <v>12</v>
      </c>
      <c r="C104" s="26">
        <v>0</v>
      </c>
      <c r="D104" s="26"/>
      <c r="E104" s="26">
        <v>0</v>
      </c>
      <c r="F104" s="27"/>
      <c r="G104" s="27"/>
      <c r="H104" s="27"/>
      <c r="I104" s="26">
        <v>20000</v>
      </c>
      <c r="J104" s="28"/>
      <c r="N104" s="72" t="s">
        <v>113</v>
      </c>
      <c r="Y104" s="4">
        <v>15000</v>
      </c>
    </row>
    <row r="105" spans="2:25" x14ac:dyDescent="0.25">
      <c r="B105" s="25" t="s">
        <v>35</v>
      </c>
      <c r="C105" s="26">
        <v>2520</v>
      </c>
      <c r="D105" s="26"/>
      <c r="E105" s="26">
        <v>3350</v>
      </c>
      <c r="F105" s="27"/>
      <c r="G105" s="27"/>
      <c r="H105" s="27"/>
      <c r="I105" s="26">
        <v>3500</v>
      </c>
      <c r="J105" s="28"/>
      <c r="Y105" s="4">
        <f>SUM(Y101:Y104)</f>
        <v>-11375</v>
      </c>
    </row>
    <row r="106" spans="2:25" x14ac:dyDescent="0.25">
      <c r="B106" s="25" t="s">
        <v>36</v>
      </c>
      <c r="C106" s="26">
        <v>1480</v>
      </c>
      <c r="D106" s="26"/>
      <c r="E106" s="26">
        <v>1480</v>
      </c>
      <c r="F106" s="27"/>
      <c r="G106" s="27"/>
      <c r="H106" s="27"/>
      <c r="I106" s="26">
        <v>1480</v>
      </c>
      <c r="J106" s="28"/>
      <c r="N106" t="s">
        <v>112</v>
      </c>
      <c r="Y106" s="4">
        <f>Y99-Y105</f>
        <v>11488.96666666666</v>
      </c>
    </row>
    <row r="107" spans="2:25" x14ac:dyDescent="0.25">
      <c r="B107" s="25" t="s">
        <v>37</v>
      </c>
      <c r="C107" s="26">
        <v>1388</v>
      </c>
      <c r="D107" s="26"/>
      <c r="E107" s="26">
        <v>6831</v>
      </c>
      <c r="F107" s="27"/>
      <c r="G107" s="27"/>
      <c r="H107" s="27"/>
      <c r="I107" s="26">
        <v>6000</v>
      </c>
      <c r="J107" s="28"/>
    </row>
    <row r="108" spans="2:25" x14ac:dyDescent="0.25">
      <c r="B108" s="25" t="s">
        <v>42</v>
      </c>
      <c r="C108" s="26">
        <v>659</v>
      </c>
      <c r="D108" s="26"/>
      <c r="E108" s="26">
        <v>245</v>
      </c>
      <c r="F108" s="27"/>
      <c r="G108" s="27"/>
      <c r="H108" s="27"/>
      <c r="I108" s="26">
        <v>500</v>
      </c>
      <c r="J108" s="28"/>
    </row>
    <row r="109" spans="2:25" x14ac:dyDescent="0.25">
      <c r="B109" s="25" t="s">
        <v>43</v>
      </c>
      <c r="C109" s="26">
        <v>670</v>
      </c>
      <c r="D109" s="26"/>
      <c r="E109" s="26">
        <v>120</v>
      </c>
      <c r="F109" s="27"/>
      <c r="G109" s="27"/>
      <c r="H109" s="27"/>
      <c r="I109" s="26">
        <v>720</v>
      </c>
      <c r="J109" s="28"/>
    </row>
    <row r="110" spans="2:25" x14ac:dyDescent="0.25">
      <c r="B110" s="25" t="s">
        <v>8</v>
      </c>
      <c r="C110" s="26">
        <v>1059</v>
      </c>
      <c r="D110" s="26"/>
      <c r="E110" s="26">
        <v>1025</v>
      </c>
      <c r="F110" s="27"/>
      <c r="G110" s="27"/>
      <c r="H110" s="27"/>
      <c r="I110" s="26">
        <v>1100</v>
      </c>
      <c r="J110" s="28"/>
    </row>
    <row r="111" spans="2:25" x14ac:dyDescent="0.25">
      <c r="B111" s="25" t="s">
        <v>10</v>
      </c>
      <c r="C111" s="26">
        <v>3973</v>
      </c>
      <c r="D111" s="26"/>
      <c r="E111" s="26">
        <v>2237</v>
      </c>
      <c r="F111" s="27"/>
      <c r="G111" s="27"/>
      <c r="H111" s="27"/>
      <c r="I111" s="26">
        <v>3000</v>
      </c>
      <c r="J111" s="28"/>
    </row>
    <row r="112" spans="2:25" x14ac:dyDescent="0.25">
      <c r="B112" s="29"/>
      <c r="C112" s="27"/>
      <c r="D112" s="26">
        <f>SUM(C104:C111)</f>
        <v>11749</v>
      </c>
      <c r="E112" s="27"/>
      <c r="F112" s="26">
        <f>SUM(E104:E111)</f>
        <v>15288</v>
      </c>
      <c r="G112" s="27"/>
      <c r="H112" s="27"/>
      <c r="I112" s="27"/>
      <c r="J112" s="34">
        <f>SUM(I104:I111)</f>
        <v>36300</v>
      </c>
    </row>
    <row r="113" spans="2:11" x14ac:dyDescent="0.25">
      <c r="B113" s="25" t="s">
        <v>15</v>
      </c>
      <c r="C113" s="71">
        <f>D112*0.75</f>
        <v>8811.75</v>
      </c>
      <c r="D113" s="26">
        <f>D50</f>
        <v>8811.75</v>
      </c>
      <c r="E113" s="71">
        <f>F112*0.75</f>
        <v>11466</v>
      </c>
      <c r="F113" s="26">
        <f>F50</f>
        <v>11466</v>
      </c>
      <c r="G113" s="27"/>
      <c r="H113" s="27"/>
      <c r="I113" s="27"/>
      <c r="J113" s="34">
        <f>K50</f>
        <v>27225</v>
      </c>
    </row>
    <row r="114" spans="2:11" x14ac:dyDescent="0.25">
      <c r="B114" s="25" t="s">
        <v>56</v>
      </c>
      <c r="C114" s="71">
        <f>D112*0.25</f>
        <v>2937.25</v>
      </c>
      <c r="D114" s="26">
        <f>Q50</f>
        <v>2937.25</v>
      </c>
      <c r="E114" s="71">
        <f>F112*0.25</f>
        <v>3822</v>
      </c>
      <c r="F114" s="26">
        <f>S50</f>
        <v>3822</v>
      </c>
      <c r="G114" s="27"/>
      <c r="H114" s="27"/>
      <c r="I114" s="27"/>
      <c r="J114" s="34">
        <f>Y66</f>
        <v>0</v>
      </c>
    </row>
    <row r="115" spans="2:11" x14ac:dyDescent="0.25">
      <c r="B115" s="30"/>
      <c r="C115" s="31"/>
      <c r="D115" s="32">
        <f>SUM(D113:D114)</f>
        <v>11749</v>
      </c>
      <c r="E115" s="31"/>
      <c r="F115" s="32">
        <f>SUM(F113:F114)</f>
        <v>15288</v>
      </c>
      <c r="G115" s="31"/>
      <c r="H115" s="31"/>
      <c r="I115" s="31"/>
      <c r="J115" s="35">
        <f>SUM(J113:J114)</f>
        <v>27225</v>
      </c>
    </row>
    <row r="119" spans="2:11" x14ac:dyDescent="0.25">
      <c r="B119" s="68" t="s">
        <v>90</v>
      </c>
      <c r="C119" s="23"/>
      <c r="D119" s="23"/>
      <c r="E119" s="23"/>
      <c r="F119" s="23"/>
      <c r="G119" s="23"/>
      <c r="H119" s="23"/>
      <c r="I119" s="24"/>
    </row>
    <row r="120" spans="2:11" x14ac:dyDescent="0.25">
      <c r="B120" s="29" t="s">
        <v>32</v>
      </c>
      <c r="C120" s="26">
        <v>2766</v>
      </c>
      <c r="D120" s="27"/>
      <c r="E120" s="26">
        <v>3068</v>
      </c>
      <c r="F120" s="27"/>
      <c r="G120" s="27"/>
      <c r="H120" s="27"/>
      <c r="I120" s="34">
        <v>3500</v>
      </c>
      <c r="K120">
        <f>10.94*6*52</f>
        <v>3413.28</v>
      </c>
    </row>
    <row r="121" spans="2:11" x14ac:dyDescent="0.25">
      <c r="B121" s="29" t="s">
        <v>33</v>
      </c>
      <c r="C121" s="26">
        <v>3845</v>
      </c>
      <c r="D121" s="27"/>
      <c r="E121" s="26">
        <v>1883</v>
      </c>
      <c r="F121" s="27"/>
      <c r="G121" s="27"/>
      <c r="H121" s="27"/>
      <c r="I121" s="34">
        <v>3500</v>
      </c>
    </row>
    <row r="122" spans="2:11" x14ac:dyDescent="0.25">
      <c r="B122" s="29" t="s">
        <v>39</v>
      </c>
      <c r="C122" s="26">
        <v>4190</v>
      </c>
      <c r="D122" s="27"/>
      <c r="E122" s="26">
        <v>3409</v>
      </c>
      <c r="F122" s="27"/>
      <c r="G122" s="27"/>
      <c r="H122" s="27"/>
      <c r="I122" s="34">
        <v>4000</v>
      </c>
    </row>
    <row r="123" spans="2:11" x14ac:dyDescent="0.25">
      <c r="B123" s="29" t="s">
        <v>48</v>
      </c>
      <c r="C123" s="26">
        <v>1178</v>
      </c>
      <c r="D123" s="27"/>
      <c r="E123" s="26">
        <v>1196</v>
      </c>
      <c r="F123" s="27"/>
      <c r="G123" s="27"/>
      <c r="H123" s="27"/>
      <c r="I123" s="34">
        <v>1200</v>
      </c>
    </row>
    <row r="124" spans="2:11" x14ac:dyDescent="0.25">
      <c r="B124" s="29" t="s">
        <v>9</v>
      </c>
      <c r="C124" s="26">
        <v>348</v>
      </c>
      <c r="D124" s="27"/>
      <c r="E124" s="26">
        <v>0</v>
      </c>
      <c r="F124" s="27"/>
      <c r="G124" s="27"/>
      <c r="H124" s="27"/>
      <c r="I124" s="34">
        <v>500</v>
      </c>
    </row>
    <row r="125" spans="2:11" x14ac:dyDescent="0.25">
      <c r="B125" s="29" t="s">
        <v>44</v>
      </c>
      <c r="C125" s="26">
        <v>923</v>
      </c>
      <c r="D125" s="27"/>
      <c r="E125" s="26">
        <v>538</v>
      </c>
      <c r="F125" s="27"/>
      <c r="G125" s="27"/>
      <c r="H125" s="27"/>
      <c r="I125" s="34">
        <v>1500</v>
      </c>
    </row>
    <row r="126" spans="2:11" x14ac:dyDescent="0.25">
      <c r="B126" s="29" t="s">
        <v>13</v>
      </c>
      <c r="C126" s="26">
        <v>3500</v>
      </c>
      <c r="D126" s="27"/>
      <c r="E126" s="26">
        <v>4582</v>
      </c>
      <c r="F126" s="27"/>
      <c r="G126" s="27"/>
      <c r="H126" s="27"/>
      <c r="I126" s="34">
        <v>5000</v>
      </c>
    </row>
    <row r="127" spans="2:11" x14ac:dyDescent="0.25">
      <c r="B127" s="29" t="s">
        <v>14</v>
      </c>
      <c r="C127" s="26">
        <v>512</v>
      </c>
      <c r="D127" s="27"/>
      <c r="E127" s="26">
        <v>0</v>
      </c>
      <c r="F127" s="27"/>
      <c r="G127" s="27"/>
      <c r="H127" s="27"/>
      <c r="I127" s="34"/>
    </row>
    <row r="128" spans="2:11" x14ac:dyDescent="0.25">
      <c r="B128" s="29" t="s">
        <v>66</v>
      </c>
      <c r="C128" s="26">
        <v>22019</v>
      </c>
      <c r="D128" s="27"/>
      <c r="E128" s="26">
        <v>2575</v>
      </c>
      <c r="F128" s="27"/>
      <c r="G128" s="27"/>
      <c r="H128" s="27"/>
      <c r="I128" s="34">
        <v>5000</v>
      </c>
    </row>
    <row r="129" spans="2:9" x14ac:dyDescent="0.25">
      <c r="B129" s="29" t="s">
        <v>67</v>
      </c>
      <c r="C129" s="26">
        <v>0</v>
      </c>
      <c r="D129" s="27"/>
      <c r="E129" s="26">
        <v>764</v>
      </c>
      <c r="F129" s="27"/>
      <c r="G129" s="27"/>
      <c r="H129" s="27"/>
      <c r="I129" s="34">
        <v>1000</v>
      </c>
    </row>
    <row r="130" spans="2:9" x14ac:dyDescent="0.25">
      <c r="B130" s="30"/>
      <c r="C130" s="31"/>
      <c r="D130" s="32">
        <f>SUM(C120:C129)</f>
        <v>39281</v>
      </c>
      <c r="E130" s="31"/>
      <c r="F130" s="32">
        <f>SUM(E120:E129)</f>
        <v>18015</v>
      </c>
      <c r="G130" s="31"/>
      <c r="H130" s="31"/>
      <c r="I130" s="35">
        <f>SUM(I120:I129)</f>
        <v>25200</v>
      </c>
    </row>
  </sheetData>
  <sheetProtection password="C722" sheet="1" objects="1" scenarios="1"/>
  <mergeCells count="6">
    <mergeCell ref="E3:F3"/>
    <mergeCell ref="C3:D3"/>
    <mergeCell ref="P3:Q3"/>
    <mergeCell ref="J3:K3"/>
    <mergeCell ref="X3:Y3"/>
    <mergeCell ref="R3:S3"/>
  </mergeCells>
  <pageMargins left="0.7" right="0.7" top="0.75" bottom="0.75" header="0.3" footer="0.3"/>
  <pageSetup paperSize="9" scale="5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NPLSC Estimates</vt:lpstr>
      <vt:lpstr>'NPLSC Estimates'!Print_Area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Felber</dc:creator>
  <cp:lastModifiedBy>Peter Taylor</cp:lastModifiedBy>
  <cp:lastPrinted>2017-05-08T13:29:11Z</cp:lastPrinted>
  <dcterms:created xsi:type="dcterms:W3CDTF">2017-01-24T17:54:38Z</dcterms:created>
  <dcterms:modified xsi:type="dcterms:W3CDTF">2017-06-12T14:15:27Z</dcterms:modified>
</cp:coreProperties>
</file>